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codeName="ThisWorkbook" checkCompatibility="1" autoCompressPictures="0"/>
  <mc:AlternateContent xmlns:mc="http://schemas.openxmlformats.org/markup-compatibility/2006">
    <mc:Choice Requires="x15">
      <x15ac:absPath xmlns:x15ac="http://schemas.microsoft.com/office/spreadsheetml/2010/11/ac" url="https://moecode-my.sharepoint.com/personal/o23385_ioffice_email/Documents/Documents/"/>
    </mc:Choice>
  </mc:AlternateContent>
  <xr:revisionPtr revIDLastSave="86" documentId="8_{F3BC8495-9DFA-724A-A08D-BDC9F7C7D8EC}" xr6:coauthVersionLast="46" xr6:coauthVersionMax="46" xr10:uidLastSave="{0D895255-DDBD-DC42-B846-93EB4CFD1799}"/>
  <bookViews>
    <workbookView xWindow="0" yWindow="500" windowWidth="25600" windowHeight="15460" activeTab="4" xr2:uid="{00000000-000D-0000-FFFF-FFFF00000000}"/>
  </bookViews>
  <sheets>
    <sheet name="Introduction" sheetId="3" r:id="rId1"/>
    <sheet name="Annuel" sheetId="11" r:id="rId2"/>
    <sheet name="Semestriel" sheetId="7" r:id="rId3"/>
    <sheet name="Mensuel" sheetId="12" r:id="rId4"/>
    <sheet name="Scolaire" sheetId="14" r:id="rId5"/>
    <sheet name="Planning " sheetId="15" r:id="rId6"/>
    <sheet name="Planning data" sheetId="17" r:id="rId7"/>
    <sheet name="Calculs" sheetId="1" state="hidden" r:id="rId8"/>
    <sheet name="Soleil" sheetId="10" state="hidden" r:id="rId9"/>
  </sheets>
  <externalReferences>
    <externalReference r:id="rId10"/>
    <externalReference r:id="rId11"/>
    <externalReference r:id="rId12"/>
    <externalReference r:id="rId13"/>
  </externalReferences>
  <definedNames>
    <definedName name="_xlnm._FilterDatabase" localSheetId="7" hidden="1">Calculs!$I$5:$J$995</definedName>
    <definedName name="An_liste">Calculs!$G$6:$G$26</definedName>
    <definedName name="Ascension_1">Calculs!$D$10</definedName>
    <definedName name="Ascension_2">Calculs!$D$25</definedName>
    <definedName name="CHE">[1]Paramètres!$C$7</definedName>
    <definedName name="CHETE">[2]Feuil1!$P$5</definedName>
    <definedName name="CHH">[1]Paramètres!$C$12</definedName>
    <definedName name="CHHIV">[2]Feuil1!$P$11</definedName>
    <definedName name="Fete_Trav_1">Calculs!$D$9</definedName>
    <definedName name="Fete_Trav_2">Calculs!$D$24</definedName>
    <definedName name="H_Ete">Calculs!$D$19</definedName>
    <definedName name="H_Ete_2">Calculs!$D$34</definedName>
    <definedName name="H_Hiver">Calculs!$D$20</definedName>
    <definedName name="H_Hiver_2">Calculs!$D$35</definedName>
    <definedName name="Heure_eté">[1]Paramètres!$D$6</definedName>
    <definedName name="Heure_hiver">[1]Paramètres!$D$11</definedName>
    <definedName name="_xlnm.Print_Titles" localSheetId="4">Scolaire!$1:$3</definedName>
    <definedName name="_xlnm.Print_Titles" localSheetId="2">Semestriel!$1:$3</definedName>
    <definedName name="Jour_ete">[1]Paramètres!$C$8</definedName>
    <definedName name="Jour_hiver">[1]Paramètres!$C$13</definedName>
    <definedName name="Lati">Soleil!$L$2</definedName>
    <definedName name="Longi">Soleil!$L$3</definedName>
    <definedName name="Mois_ete">[1]Paramètres!$C$9</definedName>
    <definedName name="Mois_hiver">[1]Paramètres!$C$14</definedName>
    <definedName name="Mois_liste">Calculs!$H$6:$H$17</definedName>
    <definedName name="Pâques">Calculs!$D$7</definedName>
    <definedName name="Paques_2">Calculs!$D$22</definedName>
    <definedName name="pays" localSheetId="5">'[3]Jours fériés'!$E$3:$AU$3</definedName>
    <definedName name="pays">'[4]Jours fériés'!$E$3:$AU$3</definedName>
    <definedName name="Pentecote">Calculs!$D$12</definedName>
    <definedName name="Plage_Cal">Calculs!$C$92</definedName>
    <definedName name="Ref_Annee">Introduction!$G$11</definedName>
    <definedName name="Ref_Mois">Introduction!$G$12</definedName>
    <definedName name="Ref_non_ouvrables">Calculs!$D$6:$D$21</definedName>
    <definedName name="TAB_EVENT_PERSO">Calculs!$C$43:$F$77</definedName>
    <definedName name="TAB_FERIES">Calculs!$C$6:$F$77</definedName>
    <definedName name="TAB_FERIES_PURS">Calculs!$C$6:$F$42</definedName>
    <definedName name="TAB_LUNE">Calculs!$I$5:$J$995</definedName>
    <definedName name="TAB_SAINTS">Calculs!$L$4:$P$369</definedName>
    <definedName name="TAB_SEMAINE">Calculs!$C$82:$D$88</definedName>
    <definedName name="TAB_SOLEIL">Soleil!$F$4:$W$373</definedName>
    <definedName name="Vict_45_1">Calculs!$D$11</definedName>
    <definedName name="Vict_45_2">Calculs!$D$26</definedName>
    <definedName name="_xlnm.Print_Area" localSheetId="1">Annuel!$B$2:$AL$34</definedName>
    <definedName name="_xlnm.Print_Area" localSheetId="3">Mensuel!$B$2:$AK$42</definedName>
    <definedName name="_xlnm.Print_Area" localSheetId="5">'Planning '!$A$1:$BM$29</definedName>
    <definedName name="_xlnm.Print_Area" localSheetId="4">Scolaire!$A$1:$CG$73</definedName>
    <definedName name="_xlnm.Print_Area" localSheetId="2">Semestriel!$A$4:$AW$136</definedName>
    <definedName name="zones_vacances" localSheetId="5">[3]Vacances!$E$2:$Z$2</definedName>
    <definedName name="zones_vacances">[4]Vacances!$E$2:$Z$2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9" i="3" l="1"/>
  <c r="D51" i="1" s="1"/>
  <c r="G68" i="3"/>
  <c r="D50" i="1" s="1"/>
  <c r="G67" i="3"/>
  <c r="D49" i="1" s="1"/>
  <c r="G66" i="3"/>
  <c r="D48" i="1" s="1"/>
  <c r="D47" i="1"/>
  <c r="D46" i="1"/>
  <c r="D45" i="1"/>
  <c r="C6" i="15"/>
  <c r="C8" i="15" s="1"/>
  <c r="C6" i="7"/>
  <c r="K6" i="7" s="1"/>
  <c r="K73" i="7" s="1"/>
  <c r="C90" i="1"/>
  <c r="H2" i="15"/>
  <c r="C3" i="15"/>
  <c r="D6" i="1"/>
  <c r="C6" i="1" s="1"/>
  <c r="F6" i="1" s="1"/>
  <c r="D7" i="1"/>
  <c r="D8" i="1" s="1"/>
  <c r="C8" i="1" s="1"/>
  <c r="F8" i="1" s="1"/>
  <c r="D19" i="1"/>
  <c r="D9" i="1"/>
  <c r="C10" i="1" s="1"/>
  <c r="F10" i="1" s="1"/>
  <c r="D11" i="1"/>
  <c r="C11" i="1" s="1"/>
  <c r="F11" i="1" s="1"/>
  <c r="D14" i="1"/>
  <c r="C14" i="1" s="1"/>
  <c r="F14" i="1" s="1"/>
  <c r="D15" i="1"/>
  <c r="C15" i="1" s="1"/>
  <c r="F15" i="1" s="1"/>
  <c r="D16" i="1"/>
  <c r="C16" i="1" s="1"/>
  <c r="F16" i="1" s="1"/>
  <c r="D17" i="1"/>
  <c r="C17" i="1" s="1"/>
  <c r="F17" i="1" s="1"/>
  <c r="D18" i="1"/>
  <c r="C18" i="1" s="1"/>
  <c r="F18" i="1" s="1"/>
  <c r="D20" i="1"/>
  <c r="C20" i="1" s="1"/>
  <c r="F20" i="1" s="1"/>
  <c r="D21" i="1"/>
  <c r="C21" i="1" s="1"/>
  <c r="F21" i="1" s="1"/>
  <c r="D22" i="1"/>
  <c r="D34" i="1"/>
  <c r="D24" i="1"/>
  <c r="D26" i="1"/>
  <c r="C26" i="1" s="1"/>
  <c r="F26" i="1" s="1"/>
  <c r="D29" i="1"/>
  <c r="C29" i="1" s="1"/>
  <c r="F29" i="1" s="1"/>
  <c r="D30" i="1"/>
  <c r="C30" i="1" s="1"/>
  <c r="F30" i="1" s="1"/>
  <c r="D31" i="1"/>
  <c r="C31" i="1" s="1"/>
  <c r="F31" i="1" s="1"/>
  <c r="D32" i="1"/>
  <c r="C32" i="1" s="1"/>
  <c r="F32" i="1" s="1"/>
  <c r="D33" i="1"/>
  <c r="C33" i="1" s="1"/>
  <c r="F33" i="1" s="1"/>
  <c r="D35" i="1"/>
  <c r="C35" i="1" s="1"/>
  <c r="F35" i="1" s="1"/>
  <c r="B27" i="15"/>
  <c r="B26" i="15"/>
  <c r="B25" i="15"/>
  <c r="B24" i="15"/>
  <c r="B23" i="15"/>
  <c r="B22" i="15"/>
  <c r="B21" i="15"/>
  <c r="B20" i="15"/>
  <c r="B19" i="15"/>
  <c r="B18" i="15"/>
  <c r="B17" i="15"/>
  <c r="B16" i="15"/>
  <c r="B15" i="15"/>
  <c r="B14" i="15"/>
  <c r="B11" i="15"/>
  <c r="B13" i="15"/>
  <c r="B12" i="15"/>
  <c r="B10" i="15"/>
  <c r="B9" i="15"/>
  <c r="B8" i="15"/>
  <c r="BK7" i="15"/>
  <c r="BL7" i="15"/>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F8" i="10"/>
  <c r="F7" i="10" s="1"/>
  <c r="G7" i="10" s="1"/>
  <c r="H7" i="10" s="1"/>
  <c r="I7" i="10" s="1"/>
  <c r="L2" i="10"/>
  <c r="AA5" i="10"/>
  <c r="AA6" i="10"/>
  <c r="AA7" i="10"/>
  <c r="AC6" i="10"/>
  <c r="V7" i="10"/>
  <c r="AG37" i="10"/>
  <c r="AG32" i="10"/>
  <c r="AC7" i="10"/>
  <c r="AE36" i="10"/>
  <c r="AE37" i="10"/>
  <c r="AE32" i="10"/>
  <c r="L3" i="10"/>
  <c r="AG36" i="10"/>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7" i="1"/>
  <c r="J8" i="1"/>
  <c r="J6" i="1"/>
  <c r="AH7" i="12"/>
  <c r="AI7" i="12" s="1"/>
  <c r="D68" i="1"/>
  <c r="D3" i="1"/>
  <c r="C45" i="1" s="1"/>
  <c r="D69" i="1"/>
  <c r="D43" i="1"/>
  <c r="C43" i="1"/>
  <c r="D44" i="1"/>
  <c r="D52" i="1"/>
  <c r="C52" i="1"/>
  <c r="D53" i="1"/>
  <c r="C53" i="1"/>
  <c r="D54" i="1"/>
  <c r="C54" i="1"/>
  <c r="D55" i="1"/>
  <c r="D56" i="1"/>
  <c r="D57" i="1"/>
  <c r="D58" i="1"/>
  <c r="D59" i="1"/>
  <c r="D60" i="1"/>
  <c r="D61" i="1"/>
  <c r="D62" i="1"/>
  <c r="D63" i="1"/>
  <c r="D64" i="1"/>
  <c r="D65" i="1"/>
  <c r="D66" i="1"/>
  <c r="D67" i="1"/>
  <c r="C67" i="1"/>
  <c r="D70" i="1"/>
  <c r="D71" i="1"/>
  <c r="D72" i="1"/>
  <c r="D73" i="1"/>
  <c r="D74" i="1"/>
  <c r="D75" i="1"/>
  <c r="D76" i="1"/>
  <c r="D77" i="1"/>
  <c r="T3" i="1"/>
  <c r="T48" i="1"/>
  <c r="T56" i="1"/>
  <c r="C6" i="14"/>
  <c r="C8" i="14" s="1"/>
  <c r="S3" i="1"/>
  <c r="S10" i="1"/>
  <c r="S5" i="1"/>
  <c r="S4" i="1"/>
  <c r="S24" i="1"/>
  <c r="S36" i="1"/>
  <c r="S42" i="1"/>
  <c r="S50" i="1"/>
  <c r="S57" i="1"/>
  <c r="S76" i="1"/>
  <c r="S92" i="1"/>
  <c r="R3" i="1"/>
  <c r="R88" i="1"/>
  <c r="R71" i="1"/>
  <c r="R48" i="1"/>
  <c r="R5" i="1"/>
  <c r="R8" i="1"/>
  <c r="R11" i="1"/>
  <c r="R12" i="1"/>
  <c r="R13" i="1"/>
  <c r="R19" i="1"/>
  <c r="R21" i="1"/>
  <c r="R22" i="1"/>
  <c r="R23" i="1"/>
  <c r="R24" i="1"/>
  <c r="R28" i="1"/>
  <c r="R30" i="1"/>
  <c r="R31" i="1"/>
  <c r="R32" i="1"/>
  <c r="R33" i="1"/>
  <c r="R37" i="1"/>
  <c r="R39" i="1"/>
  <c r="R40" i="1"/>
  <c r="R41" i="1"/>
  <c r="R43" i="1"/>
  <c r="R46" i="1"/>
  <c r="R49" i="1"/>
  <c r="R50" i="1"/>
  <c r="R52" i="1"/>
  <c r="R53" i="1"/>
  <c r="R56" i="1"/>
  <c r="R58" i="1"/>
  <c r="R60" i="1"/>
  <c r="R61" i="1"/>
  <c r="R62" i="1"/>
  <c r="R65" i="1"/>
  <c r="R68" i="1"/>
  <c r="R69" i="1"/>
  <c r="R70" i="1"/>
  <c r="R72" i="1"/>
  <c r="R75" i="1"/>
  <c r="R78" i="1"/>
  <c r="R79" i="1"/>
  <c r="R80" i="1"/>
  <c r="R81" i="1"/>
  <c r="R86" i="1"/>
  <c r="R89" i="1"/>
  <c r="R90" i="1"/>
  <c r="R91" i="1"/>
  <c r="R92" i="1"/>
  <c r="AE3" i="14"/>
  <c r="C3" i="14"/>
  <c r="N4" i="12"/>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E76"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7" i="1"/>
  <c r="AA4" i="12"/>
  <c r="E4" i="12"/>
  <c r="Y4" i="11"/>
  <c r="AI3" i="7"/>
  <c r="D4" i="11"/>
  <c r="I8" i="11"/>
  <c r="I9" i="11" s="1"/>
  <c r="I10" i="11" s="1"/>
  <c r="H10" i="11" s="1"/>
  <c r="G10" i="11" s="1"/>
  <c r="F10" i="11" s="1"/>
  <c r="E10" i="11" s="1"/>
  <c r="D10" i="11" s="1"/>
  <c r="C10" i="11" s="1"/>
  <c r="J10" i="11" s="1"/>
  <c r="AG31" i="10"/>
  <c r="AG38" i="10"/>
  <c r="AG29" i="10"/>
  <c r="AG30" i="10"/>
  <c r="AG33" i="10"/>
  <c r="AG34" i="10"/>
  <c r="AG35" i="10"/>
  <c r="AC5" i="10"/>
  <c r="AG18" i="10"/>
  <c r="G3" i="10"/>
  <c r="G2" i="10"/>
  <c r="I2" i="10"/>
  <c r="AE18" i="10"/>
  <c r="AE31" i="10"/>
  <c r="AG54" i="10"/>
  <c r="AE54" i="10"/>
  <c r="AB54" i="10"/>
  <c r="AG53" i="10"/>
  <c r="AE53" i="10"/>
  <c r="AB53" i="10"/>
  <c r="AG52" i="10"/>
  <c r="AE52" i="10"/>
  <c r="AB52" i="10"/>
  <c r="AG51" i="10"/>
  <c r="AE51" i="10"/>
  <c r="AB51" i="10"/>
  <c r="AG50" i="10"/>
  <c r="AE50" i="10"/>
  <c r="AB50" i="10"/>
  <c r="AG49" i="10"/>
  <c r="AE49" i="10"/>
  <c r="AB49" i="10"/>
  <c r="AG48" i="10"/>
  <c r="AE48" i="10"/>
  <c r="AB48" i="10"/>
  <c r="AG47" i="10"/>
  <c r="AE47" i="10"/>
  <c r="AB47" i="10"/>
  <c r="AG46" i="10"/>
  <c r="AE46" i="10"/>
  <c r="AB46" i="10"/>
  <c r="AG45" i="10"/>
  <c r="AE45" i="10"/>
  <c r="AB45" i="10"/>
  <c r="AG44" i="10"/>
  <c r="AE44" i="10"/>
  <c r="AB44" i="10"/>
  <c r="AG43" i="10"/>
  <c r="AE43" i="10"/>
  <c r="AB43" i="10"/>
  <c r="AG42" i="10"/>
  <c r="AE42" i="10"/>
  <c r="AB42" i="10"/>
  <c r="AG41" i="10"/>
  <c r="AE41" i="10"/>
  <c r="AB41" i="10"/>
  <c r="AG40" i="10"/>
  <c r="AE40" i="10"/>
  <c r="AB40" i="10"/>
  <c r="AG39" i="10"/>
  <c r="AE39" i="10"/>
  <c r="AB39" i="10"/>
  <c r="AE38" i="10"/>
  <c r="AB38" i="10"/>
  <c r="AB37" i="10"/>
  <c r="AB36" i="10"/>
  <c r="AE35" i="10"/>
  <c r="AB35" i="10"/>
  <c r="AE34" i="10"/>
  <c r="AB34" i="10"/>
  <c r="AE33" i="10"/>
  <c r="AB33" i="10"/>
  <c r="AB32" i="10"/>
  <c r="AB31" i="10"/>
  <c r="AE30" i="10"/>
  <c r="AB30" i="10"/>
  <c r="AE29" i="10"/>
  <c r="AB29" i="10"/>
  <c r="AG28" i="10"/>
  <c r="AE28" i="10"/>
  <c r="AB28" i="10"/>
  <c r="AG27" i="10"/>
  <c r="AE27" i="10"/>
  <c r="AB27" i="10"/>
  <c r="AG26" i="10"/>
  <c r="AE26" i="10"/>
  <c r="AB26" i="10"/>
  <c r="AG25" i="10"/>
  <c r="AE25" i="10"/>
  <c r="AB25" i="10"/>
  <c r="AG24" i="10"/>
  <c r="AE24" i="10"/>
  <c r="AB24" i="10"/>
  <c r="AG23" i="10"/>
  <c r="AE23" i="10"/>
  <c r="AB23" i="10"/>
  <c r="AG22" i="10"/>
  <c r="AE22" i="10"/>
  <c r="AB22" i="10"/>
  <c r="AG21" i="10"/>
  <c r="AE21" i="10"/>
  <c r="AB21" i="10"/>
  <c r="AG20" i="10"/>
  <c r="AE20" i="10"/>
  <c r="AB20" i="10"/>
  <c r="AG19" i="10"/>
  <c r="AE19" i="10"/>
  <c r="AB19" i="10"/>
  <c r="AB18" i="10"/>
  <c r="AG17" i="10"/>
  <c r="AE17" i="10"/>
  <c r="AB17" i="10"/>
  <c r="AG16" i="10"/>
  <c r="AE16" i="10"/>
  <c r="AB16" i="10"/>
  <c r="AG15" i="10"/>
  <c r="AE15" i="10"/>
  <c r="AB15" i="10"/>
  <c r="AG14" i="10"/>
  <c r="AE14" i="10"/>
  <c r="AB14" i="10"/>
  <c r="AG13" i="10"/>
  <c r="AE13" i="10"/>
  <c r="AB13" i="10"/>
  <c r="AG12" i="10"/>
  <c r="AE12" i="10"/>
  <c r="AB12" i="10"/>
  <c r="AG11" i="10"/>
  <c r="AE11" i="10"/>
  <c r="AB11" i="10"/>
  <c r="G97" i="3"/>
  <c r="E2" i="3"/>
  <c r="C3" i="1"/>
  <c r="C3" i="7"/>
  <c r="C61" i="3"/>
  <c r="C64" i="3"/>
  <c r="AU65" i="7"/>
  <c r="AU63" i="7"/>
  <c r="AU61" i="7"/>
  <c r="AU59" i="7"/>
  <c r="AU57" i="7"/>
  <c r="AU55" i="7"/>
  <c r="AU53" i="7"/>
  <c r="AU51" i="7"/>
  <c r="AU49" i="7"/>
  <c r="AU47" i="7"/>
  <c r="AU45" i="7"/>
  <c r="AU43" i="7"/>
  <c r="AU41" i="7"/>
  <c r="AU39" i="7"/>
  <c r="AU37" i="7"/>
  <c r="AU35" i="7"/>
  <c r="AU33" i="7"/>
  <c r="AU31" i="7"/>
  <c r="AU29" i="7"/>
  <c r="AU27" i="7"/>
  <c r="AU25" i="7"/>
  <c r="AU23" i="7"/>
  <c r="AU21" i="7"/>
  <c r="AU19" i="7"/>
  <c r="AU17" i="7"/>
  <c r="AU15" i="7"/>
  <c r="AU13" i="7"/>
  <c r="AU11" i="7"/>
  <c r="AU9" i="7"/>
  <c r="AU7" i="7"/>
  <c r="AM65" i="7"/>
  <c r="AM63" i="7"/>
  <c r="AM61" i="7"/>
  <c r="AM59" i="7"/>
  <c r="AM57" i="7"/>
  <c r="AM55" i="7"/>
  <c r="AM53" i="7"/>
  <c r="AM51" i="7"/>
  <c r="AM49" i="7"/>
  <c r="AM47" i="7"/>
  <c r="AM45" i="7"/>
  <c r="AM43" i="7"/>
  <c r="AM41" i="7"/>
  <c r="AM39" i="7"/>
  <c r="AM37" i="7"/>
  <c r="AM35" i="7"/>
  <c r="AM33" i="7"/>
  <c r="AM31" i="7"/>
  <c r="AM29" i="7"/>
  <c r="AM27" i="7"/>
  <c r="AM25" i="7"/>
  <c r="AM23" i="7"/>
  <c r="AM21" i="7"/>
  <c r="AM19" i="7"/>
  <c r="AM17" i="7"/>
  <c r="AM15" i="7"/>
  <c r="AM13" i="7"/>
  <c r="AM11" i="7"/>
  <c r="AM9" i="7"/>
  <c r="AM7" i="7"/>
  <c r="AE65" i="7"/>
  <c r="AE63" i="7"/>
  <c r="AE61" i="7"/>
  <c r="AE59" i="7"/>
  <c r="AE57" i="7"/>
  <c r="AE55" i="7"/>
  <c r="AE53" i="7"/>
  <c r="AE51" i="7"/>
  <c r="AE49" i="7"/>
  <c r="AE47" i="7"/>
  <c r="AE45" i="7"/>
  <c r="AE43" i="7"/>
  <c r="AE41" i="7"/>
  <c r="AE39" i="7"/>
  <c r="AE37" i="7"/>
  <c r="AE35" i="7"/>
  <c r="AE33" i="7"/>
  <c r="AE31" i="7"/>
  <c r="AE29" i="7"/>
  <c r="AE27" i="7"/>
  <c r="AE25" i="7"/>
  <c r="AE23" i="7"/>
  <c r="AE21" i="7"/>
  <c r="AE19" i="7"/>
  <c r="AE17" i="7"/>
  <c r="AE15" i="7"/>
  <c r="AE13" i="7"/>
  <c r="AE11" i="7"/>
  <c r="AE9" i="7"/>
  <c r="AE7" i="7"/>
  <c r="W65" i="7"/>
  <c r="W63" i="7"/>
  <c r="W61" i="7"/>
  <c r="W59" i="7"/>
  <c r="W57" i="7"/>
  <c r="W55" i="7"/>
  <c r="W53" i="7"/>
  <c r="W51" i="7"/>
  <c r="W49" i="7"/>
  <c r="W47" i="7"/>
  <c r="W45" i="7"/>
  <c r="W43" i="7"/>
  <c r="W41" i="7"/>
  <c r="W39" i="7"/>
  <c r="W37" i="7"/>
  <c r="W35" i="7"/>
  <c r="W33" i="7"/>
  <c r="W31" i="7"/>
  <c r="W29" i="7"/>
  <c r="W27" i="7"/>
  <c r="W25" i="7"/>
  <c r="W23" i="7"/>
  <c r="W21" i="7"/>
  <c r="W19" i="7"/>
  <c r="W17" i="7"/>
  <c r="W15" i="7"/>
  <c r="W13" i="7"/>
  <c r="W11" i="7"/>
  <c r="W9" i="7"/>
  <c r="W7" i="7"/>
  <c r="O65" i="7"/>
  <c r="O63" i="7"/>
  <c r="O61" i="7"/>
  <c r="O59" i="7"/>
  <c r="O57" i="7"/>
  <c r="O55" i="7"/>
  <c r="O53" i="7"/>
  <c r="O51" i="7"/>
  <c r="O49" i="7"/>
  <c r="O47" i="7"/>
  <c r="O45" i="7"/>
  <c r="O43" i="7"/>
  <c r="O41" i="7"/>
  <c r="O39" i="7"/>
  <c r="O37" i="7"/>
  <c r="O35" i="7"/>
  <c r="O33" i="7"/>
  <c r="O31" i="7"/>
  <c r="O29" i="7"/>
  <c r="O27" i="7"/>
  <c r="O25" i="7"/>
  <c r="O23" i="7"/>
  <c r="O21" i="7"/>
  <c r="O19" i="7"/>
  <c r="O17" i="7"/>
  <c r="O15" i="7"/>
  <c r="O13" i="7"/>
  <c r="O11" i="7"/>
  <c r="O9" i="7"/>
  <c r="O7" i="7"/>
  <c r="G65" i="7"/>
  <c r="G63" i="7"/>
  <c r="G61" i="7"/>
  <c r="G59" i="7"/>
  <c r="G57" i="7"/>
  <c r="G55" i="7"/>
  <c r="G53" i="7"/>
  <c r="G51" i="7"/>
  <c r="G49" i="7"/>
  <c r="G47" i="7"/>
  <c r="G45" i="7"/>
  <c r="G43" i="7"/>
  <c r="G41" i="7"/>
  <c r="G39" i="7"/>
  <c r="G37" i="7"/>
  <c r="G35" i="7"/>
  <c r="G33" i="7"/>
  <c r="G31" i="7"/>
  <c r="G29" i="7"/>
  <c r="G27" i="7"/>
  <c r="G25" i="7"/>
  <c r="G23" i="7"/>
  <c r="G21" i="7"/>
  <c r="G19" i="7"/>
  <c r="G17" i="7"/>
  <c r="G15" i="7"/>
  <c r="G13" i="7"/>
  <c r="G11" i="7"/>
  <c r="G9" i="7"/>
  <c r="G7" i="7"/>
  <c r="C73" i="3"/>
  <c r="C72" i="3"/>
  <c r="C71" i="3"/>
  <c r="C70" i="3"/>
  <c r="C69" i="3"/>
  <c r="C66" i="3"/>
  <c r="C62" i="3"/>
  <c r="C68" i="3"/>
  <c r="C65" i="3"/>
  <c r="C63" i="3"/>
  <c r="S83" i="1"/>
  <c r="S67" i="1"/>
  <c r="S56" i="1"/>
  <c r="S41" i="1"/>
  <c r="S28" i="1"/>
  <c r="S16" i="1"/>
  <c r="S82" i="1"/>
  <c r="T90" i="1"/>
  <c r="T80" i="1"/>
  <c r="T72" i="1"/>
  <c r="T63" i="1"/>
  <c r="T55" i="1"/>
  <c r="T46" i="1"/>
  <c r="T30" i="1"/>
  <c r="T22" i="1"/>
  <c r="T14" i="1"/>
  <c r="T6" i="1"/>
  <c r="S81" i="1"/>
  <c r="S66" i="1"/>
  <c r="S53" i="1"/>
  <c r="S40" i="1"/>
  <c r="S26" i="1"/>
  <c r="S15" i="1"/>
  <c r="S71" i="1"/>
  <c r="T89" i="1"/>
  <c r="T79" i="1"/>
  <c r="T70" i="1"/>
  <c r="T62" i="1"/>
  <c r="T45" i="1"/>
  <c r="T37" i="1"/>
  <c r="T29" i="1"/>
  <c r="T21" i="1"/>
  <c r="T13" i="1"/>
  <c r="T5" i="1"/>
  <c r="C77" i="1"/>
  <c r="S93" i="1"/>
  <c r="S78" i="1"/>
  <c r="S65" i="1"/>
  <c r="S51" i="1"/>
  <c r="S39" i="1"/>
  <c r="S25" i="1"/>
  <c r="S12" i="1"/>
  <c r="S48" i="1"/>
  <c r="T78" i="1"/>
  <c r="T69" i="1"/>
  <c r="T61" i="1"/>
  <c r="T53" i="1"/>
  <c r="T44" i="1"/>
  <c r="T36" i="1"/>
  <c r="T28" i="1"/>
  <c r="T12" i="1"/>
  <c r="T4" i="1"/>
  <c r="T86" i="1"/>
  <c r="T77" i="1"/>
  <c r="T68" i="1"/>
  <c r="T60" i="1"/>
  <c r="T52" i="1"/>
  <c r="T35" i="1"/>
  <c r="T27" i="1"/>
  <c r="T19" i="1"/>
  <c r="T11" i="1"/>
  <c r="T88" i="1"/>
  <c r="R85" i="1"/>
  <c r="R76" i="1"/>
  <c r="R67" i="1"/>
  <c r="R59" i="1"/>
  <c r="R51" i="1"/>
  <c r="R42" i="1"/>
  <c r="R34" i="1"/>
  <c r="R26" i="1"/>
  <c r="R16" i="1"/>
  <c r="R6" i="1"/>
  <c r="S91" i="1"/>
  <c r="S75" i="1"/>
  <c r="S61" i="1"/>
  <c r="S49" i="1"/>
  <c r="S34" i="1"/>
  <c r="S23" i="1"/>
  <c r="S9" i="1"/>
  <c r="T85" i="1"/>
  <c r="T76" i="1"/>
  <c r="T67" i="1"/>
  <c r="T59" i="1"/>
  <c r="T51" i="1"/>
  <c r="T42" i="1"/>
  <c r="T34" i="1"/>
  <c r="T26" i="1"/>
  <c r="T18" i="1"/>
  <c r="T10" i="1"/>
  <c r="T82" i="1"/>
  <c r="S87" i="1"/>
  <c r="S74" i="1"/>
  <c r="S59" i="1"/>
  <c r="S47" i="1"/>
  <c r="S33" i="1"/>
  <c r="S20" i="1"/>
  <c r="S8" i="1"/>
  <c r="T93" i="1"/>
  <c r="T84" i="1"/>
  <c r="T75" i="1"/>
  <c r="T66" i="1"/>
  <c r="T58" i="1"/>
  <c r="T50" i="1"/>
  <c r="T41" i="1"/>
  <c r="T33" i="1"/>
  <c r="T25" i="1"/>
  <c r="T17" i="1"/>
  <c r="T9" i="1"/>
  <c r="T71" i="1"/>
  <c r="S85" i="1"/>
  <c r="S73" i="1"/>
  <c r="S58" i="1"/>
  <c r="S44" i="1"/>
  <c r="S32" i="1"/>
  <c r="S18" i="1"/>
  <c r="S7" i="1"/>
  <c r="T92" i="1"/>
  <c r="T83" i="1"/>
  <c r="T74" i="1"/>
  <c r="T65" i="1"/>
  <c r="T57" i="1"/>
  <c r="T49" i="1"/>
  <c r="T40" i="1"/>
  <c r="T32" i="1"/>
  <c r="T24" i="1"/>
  <c r="T16" i="1"/>
  <c r="T8" i="1"/>
  <c r="C60" i="1"/>
  <c r="C74" i="1"/>
  <c r="C66" i="1"/>
  <c r="C65" i="1"/>
  <c r="C64" i="1"/>
  <c r="C11" i="15"/>
  <c r="C71" i="1"/>
  <c r="C70" i="1"/>
  <c r="C57" i="1"/>
  <c r="C62" i="1"/>
  <c r="C75" i="1"/>
  <c r="C61" i="1"/>
  <c r="D27" i="1"/>
  <c r="C27" i="1" s="1"/>
  <c r="F27" i="1" s="1"/>
  <c r="D25" i="1"/>
  <c r="C24" i="1" s="1"/>
  <c r="F24" i="1" s="1"/>
  <c r="D10" i="1"/>
  <c r="D12" i="1"/>
  <c r="S86" i="1"/>
  <c r="S77" i="1"/>
  <c r="S68" i="1"/>
  <c r="S60" i="1"/>
  <c r="S52" i="1"/>
  <c r="S43" i="1"/>
  <c r="S35" i="1"/>
  <c r="S27" i="1"/>
  <c r="S19" i="1"/>
  <c r="S11" i="1"/>
  <c r="S88" i="1"/>
  <c r="C63" i="1"/>
  <c r="C55" i="1"/>
  <c r="R18" i="1"/>
  <c r="R10" i="1"/>
  <c r="R82" i="1"/>
  <c r="S90" i="1"/>
  <c r="S80" i="1"/>
  <c r="S72" i="1"/>
  <c r="S63" i="1"/>
  <c r="S55" i="1"/>
  <c r="S46" i="1"/>
  <c r="S38" i="1"/>
  <c r="S30" i="1"/>
  <c r="S22" i="1"/>
  <c r="S14" i="1"/>
  <c r="S6" i="1"/>
  <c r="R17" i="1"/>
  <c r="R9" i="1"/>
  <c r="S89" i="1"/>
  <c r="S79" i="1"/>
  <c r="S70" i="1"/>
  <c r="S62" i="1"/>
  <c r="S54" i="1"/>
  <c r="S45" i="1"/>
  <c r="S37" i="1"/>
  <c r="S29" i="1"/>
  <c r="S21" i="1"/>
  <c r="S13" i="1"/>
  <c r="C22" i="1"/>
  <c r="F22" i="1" s="1"/>
  <c r="D28" i="1"/>
  <c r="C28" i="1" s="1"/>
  <c r="F28" i="1" s="1"/>
  <c r="D23" i="1"/>
  <c r="C23" i="1" s="1"/>
  <c r="F23" i="1" s="1"/>
  <c r="D38" i="1"/>
  <c r="C38" i="1" s="1"/>
  <c r="F38" i="1" s="1"/>
  <c r="V6" i="10"/>
  <c r="C19" i="1"/>
  <c r="F19" i="1" s="1"/>
  <c r="J6" i="14"/>
  <c r="I6" i="14" s="1"/>
  <c r="T47" i="1"/>
  <c r="T39" i="1"/>
  <c r="T31" i="1"/>
  <c r="T43" i="1"/>
  <c r="T20" i="1"/>
  <c r="T87" i="1"/>
  <c r="T54" i="1"/>
  <c r="T38" i="1"/>
  <c r="R87" i="1"/>
  <c r="R77" i="1"/>
  <c r="R66" i="1"/>
  <c r="R57" i="1"/>
  <c r="R47" i="1"/>
  <c r="R38" i="1"/>
  <c r="R29" i="1"/>
  <c r="R20" i="1"/>
  <c r="R7" i="1"/>
  <c r="S84" i="1"/>
  <c r="S31" i="1"/>
  <c r="T91" i="1"/>
  <c r="T23" i="1"/>
  <c r="T81" i="1"/>
  <c r="T15" i="1"/>
  <c r="R84" i="1"/>
  <c r="R74" i="1"/>
  <c r="R64" i="1"/>
  <c r="R55" i="1"/>
  <c r="R45" i="1"/>
  <c r="R36" i="1"/>
  <c r="R27" i="1"/>
  <c r="R15" i="1"/>
  <c r="R4" i="1"/>
  <c r="S69" i="1"/>
  <c r="S17" i="1"/>
  <c r="T73" i="1"/>
  <c r="T7" i="1"/>
  <c r="C69" i="1"/>
  <c r="R93" i="1"/>
  <c r="R83" i="1"/>
  <c r="R73" i="1"/>
  <c r="R63" i="1"/>
  <c r="R54" i="1"/>
  <c r="R44" i="1"/>
  <c r="R35" i="1"/>
  <c r="R25" i="1"/>
  <c r="R14" i="1"/>
  <c r="S64" i="1"/>
  <c r="T64" i="1"/>
  <c r="C59" i="1"/>
  <c r="C44" i="1"/>
  <c r="C73" i="1"/>
  <c r="C56" i="1"/>
  <c r="C58" i="1"/>
  <c r="C68" i="1"/>
  <c r="C76" i="1"/>
  <c r="C72" i="1"/>
  <c r="AB5" i="10"/>
  <c r="AB7" i="10" s="1"/>
  <c r="C34" i="1"/>
  <c r="F34" i="1" s="1"/>
  <c r="AJ7" i="12"/>
  <c r="V3" i="12"/>
  <c r="D37" i="1"/>
  <c r="C37" i="1" s="1"/>
  <c r="F37" i="1" s="1"/>
  <c r="AB6" i="10"/>
  <c r="D40" i="1" l="1"/>
  <c r="C40" i="1" s="1"/>
  <c r="F40" i="1" s="1"/>
  <c r="C13" i="15"/>
  <c r="C9" i="1"/>
  <c r="F9" i="1" s="1"/>
  <c r="C12" i="15"/>
  <c r="C19" i="15"/>
  <c r="C16" i="15"/>
  <c r="C17" i="15"/>
  <c r="C5" i="15"/>
  <c r="C25" i="15"/>
  <c r="B4" i="15"/>
  <c r="D6" i="15"/>
  <c r="D8" i="15" s="1"/>
  <c r="U8" i="10"/>
  <c r="V8" i="10" s="1"/>
  <c r="C15" i="15"/>
  <c r="C27" i="15"/>
  <c r="C23" i="15"/>
  <c r="C9" i="15"/>
  <c r="C14" i="15"/>
  <c r="D3" i="12"/>
  <c r="AH13" i="12"/>
  <c r="AI13" i="12" s="1"/>
  <c r="AH11" i="12"/>
  <c r="AC7" i="12"/>
  <c r="AC9" i="12" s="1"/>
  <c r="F6" i="14"/>
  <c r="AH9" i="12"/>
  <c r="E6" i="14"/>
  <c r="G6" i="14"/>
  <c r="C67" i="3"/>
  <c r="D39" i="1"/>
  <c r="C39" i="1" s="1"/>
  <c r="F39" i="1" s="1"/>
  <c r="G8" i="10"/>
  <c r="H8" i="10" s="1"/>
  <c r="I8" i="10" s="1"/>
  <c r="J8" i="10" s="1"/>
  <c r="C25" i="1"/>
  <c r="F25" i="1" s="1"/>
  <c r="P6" i="7"/>
  <c r="B6" i="14"/>
  <c r="E6" i="7"/>
  <c r="B6" i="7"/>
  <c r="G6" i="7" s="1"/>
  <c r="D26" i="15"/>
  <c r="C21" i="15"/>
  <c r="F6" i="10"/>
  <c r="G6" i="10" s="1"/>
  <c r="H6" i="10" s="1"/>
  <c r="I6" i="10" s="1"/>
  <c r="J6" i="10" s="1"/>
  <c r="P73" i="7"/>
  <c r="J73" i="7"/>
  <c r="O73" i="7" s="1"/>
  <c r="Q6" i="14"/>
  <c r="Q8" i="14" s="1"/>
  <c r="Q10" i="14" s="1"/>
  <c r="S95" i="1"/>
  <c r="I68" i="14" s="1"/>
  <c r="S97" i="1"/>
  <c r="I72" i="14" s="1"/>
  <c r="S96" i="1"/>
  <c r="I70" i="14" s="1"/>
  <c r="C8" i="7"/>
  <c r="H6" i="7"/>
  <c r="J8" i="14"/>
  <c r="J10" i="14" s="1"/>
  <c r="N10" i="14" s="1"/>
  <c r="L6" i="14"/>
  <c r="AH19" i="12"/>
  <c r="AH23" i="12" s="1"/>
  <c r="AZ6" i="14"/>
  <c r="BB6" i="14" s="1"/>
  <c r="H8" i="11"/>
  <c r="N6" i="14"/>
  <c r="M6" i="14"/>
  <c r="G8" i="11"/>
  <c r="D23" i="15"/>
  <c r="AC11" i="12"/>
  <c r="D27" i="15"/>
  <c r="C10" i="15"/>
  <c r="C20" i="15"/>
  <c r="C24" i="15"/>
  <c r="C22" i="15"/>
  <c r="D19" i="15"/>
  <c r="D22" i="15"/>
  <c r="C49" i="1"/>
  <c r="D15" i="15"/>
  <c r="D24" i="15"/>
  <c r="D10" i="15"/>
  <c r="C26" i="15"/>
  <c r="B8" i="7"/>
  <c r="G8" i="7" s="1"/>
  <c r="C18" i="15"/>
  <c r="C51" i="1"/>
  <c r="U6" i="14"/>
  <c r="AH15" i="12"/>
  <c r="AH17" i="12"/>
  <c r="AC13" i="12"/>
  <c r="K8" i="7"/>
  <c r="M6" i="7"/>
  <c r="S6" i="7"/>
  <c r="J6" i="7"/>
  <c r="O6" i="7" s="1"/>
  <c r="M73" i="7"/>
  <c r="K75" i="7"/>
  <c r="E8" i="11"/>
  <c r="I11" i="11"/>
  <c r="D12" i="11" s="1"/>
  <c r="C46" i="1"/>
  <c r="C47" i="1"/>
  <c r="F8" i="11"/>
  <c r="H9" i="11"/>
  <c r="G9" i="11" s="1"/>
  <c r="F9" i="11" s="1"/>
  <c r="E9" i="11" s="1"/>
  <c r="D9" i="11" s="1"/>
  <c r="C9" i="11" s="1"/>
  <c r="J9" i="11" s="1"/>
  <c r="C50" i="1"/>
  <c r="R8" i="11"/>
  <c r="N8" i="11" s="1"/>
  <c r="C48" i="1"/>
  <c r="C10" i="14"/>
  <c r="G8" i="14"/>
  <c r="F8" i="14"/>
  <c r="B8" i="14"/>
  <c r="E8" i="14"/>
  <c r="D9" i="15"/>
  <c r="E6" i="15"/>
  <c r="D18" i="15"/>
  <c r="D17" i="15"/>
  <c r="D25" i="15"/>
  <c r="D20" i="15"/>
  <c r="D11" i="15"/>
  <c r="D21" i="15"/>
  <c r="D14" i="15"/>
  <c r="D13" i="15"/>
  <c r="D5" i="15"/>
  <c r="D16" i="15"/>
  <c r="C12" i="1"/>
  <c r="F12" i="1" s="1"/>
  <c r="D13" i="1"/>
  <c r="C13" i="1" s="1"/>
  <c r="F13" i="1" s="1"/>
  <c r="J7" i="10"/>
  <c r="F9" i="10"/>
  <c r="C7" i="1"/>
  <c r="K10" i="14" s="1"/>
  <c r="N8" i="14"/>
  <c r="AJ13" i="12"/>
  <c r="J8" i="11"/>
  <c r="D8" i="11"/>
  <c r="C8" i="11"/>
  <c r="AD7" i="12" l="1"/>
  <c r="AE7" i="12"/>
  <c r="I8" i="14"/>
  <c r="L8" i="14"/>
  <c r="I10" i="14"/>
  <c r="M8" i="14"/>
  <c r="X7" i="12"/>
  <c r="S7" i="12" s="1"/>
  <c r="M10" i="14"/>
  <c r="S8" i="14"/>
  <c r="D12" i="15"/>
  <c r="D13" i="11"/>
  <c r="I12" i="11"/>
  <c r="U8" i="14"/>
  <c r="P6" i="14"/>
  <c r="BG6" i="14"/>
  <c r="P8" i="14"/>
  <c r="T8" i="14"/>
  <c r="AH25" i="12"/>
  <c r="AH29" i="12" s="1"/>
  <c r="AJ19" i="12"/>
  <c r="AI19" i="12"/>
  <c r="T6" i="14"/>
  <c r="AC19" i="12"/>
  <c r="AC21" i="12" s="1"/>
  <c r="BD6" i="14"/>
  <c r="C12" i="11"/>
  <c r="J12" i="11" s="1"/>
  <c r="AH21" i="12"/>
  <c r="AH27" i="12"/>
  <c r="BC6" i="14"/>
  <c r="S6" i="14"/>
  <c r="X6" i="14"/>
  <c r="AA6" i="14" s="1"/>
  <c r="AI25" i="12"/>
  <c r="H11" i="11"/>
  <c r="G11" i="11" s="1"/>
  <c r="F11" i="11" s="1"/>
  <c r="E11" i="11" s="1"/>
  <c r="D11" i="11" s="1"/>
  <c r="C11" i="11" s="1"/>
  <c r="J11" i="11" s="1"/>
  <c r="AZ8" i="14"/>
  <c r="BD8" i="14" s="1"/>
  <c r="AY6" i="14"/>
  <c r="AA8" i="11"/>
  <c r="X8" i="11" s="1"/>
  <c r="Q8" i="11"/>
  <c r="R9" i="11"/>
  <c r="O8" i="11"/>
  <c r="M8" i="11"/>
  <c r="F13" i="11"/>
  <c r="C10" i="7"/>
  <c r="H8" i="7"/>
  <c r="E8" i="7"/>
  <c r="E13" i="11"/>
  <c r="AH10" i="12"/>
  <c r="H13" i="11"/>
  <c r="G12" i="11"/>
  <c r="G13" i="11"/>
  <c r="J12" i="14"/>
  <c r="L10" i="14"/>
  <c r="X9" i="12"/>
  <c r="Z7" i="12"/>
  <c r="AC10" i="12"/>
  <c r="BG8" i="14"/>
  <c r="BH8" i="14" s="1"/>
  <c r="BF6" i="14"/>
  <c r="BK6" i="14"/>
  <c r="BJ6" i="14"/>
  <c r="BI6" i="14"/>
  <c r="AH16" i="12"/>
  <c r="F12" i="11"/>
  <c r="E12" i="11"/>
  <c r="C13" i="11"/>
  <c r="J13" i="11" s="1"/>
  <c r="H12" i="11"/>
  <c r="I13" i="11"/>
  <c r="K10" i="7"/>
  <c r="N10" i="7" s="1"/>
  <c r="M8" i="7"/>
  <c r="J8" i="7"/>
  <c r="O8" i="7" s="1"/>
  <c r="P8" i="7"/>
  <c r="AC25" i="12"/>
  <c r="AB25" i="12" s="1"/>
  <c r="AD26" i="12" s="1"/>
  <c r="AH28" i="12"/>
  <c r="X8" i="14"/>
  <c r="Y8" i="14" s="1"/>
  <c r="AE6" i="14"/>
  <c r="AF6" i="14" s="1"/>
  <c r="R6" i="7"/>
  <c r="W6" i="7" s="1"/>
  <c r="U6" i="7"/>
  <c r="S73" i="7"/>
  <c r="AA6" i="7"/>
  <c r="AB6" i="7" s="1"/>
  <c r="S8" i="7"/>
  <c r="T8" i="7" s="1"/>
  <c r="X6" i="7"/>
  <c r="P8" i="11"/>
  <c r="S8" i="11"/>
  <c r="L8" i="11"/>
  <c r="X10" i="12"/>
  <c r="P75" i="7"/>
  <c r="J75" i="7"/>
  <c r="O75" i="7" s="1"/>
  <c r="M75" i="7"/>
  <c r="K77" i="7"/>
  <c r="L77" i="7" s="1"/>
  <c r="AH22" i="12"/>
  <c r="AC16" i="12"/>
  <c r="X13" i="12"/>
  <c r="W13" i="12" s="1"/>
  <c r="Y14" i="12" s="1"/>
  <c r="AC17" i="12"/>
  <c r="AE13" i="12"/>
  <c r="AC15" i="12"/>
  <c r="AD13" i="12"/>
  <c r="AD19" i="12"/>
  <c r="AC22" i="12"/>
  <c r="X19" i="12"/>
  <c r="W19" i="12" s="1"/>
  <c r="Y20" i="12" s="1"/>
  <c r="AE19" i="12"/>
  <c r="AC23" i="12"/>
  <c r="F10" i="14"/>
  <c r="B10" i="14"/>
  <c r="C12" i="14"/>
  <c r="G10" i="14"/>
  <c r="E10" i="14"/>
  <c r="D10" i="14"/>
  <c r="K6" i="10"/>
  <c r="L6" i="10" s="1"/>
  <c r="M6" i="10" s="1"/>
  <c r="N6" i="10"/>
  <c r="O6" i="10" s="1"/>
  <c r="P6" i="10" s="1"/>
  <c r="E12" i="15"/>
  <c r="E20" i="15"/>
  <c r="E8" i="15"/>
  <c r="E22" i="15"/>
  <c r="E7" i="15"/>
  <c r="E21" i="15"/>
  <c r="E16" i="15"/>
  <c r="E14" i="15"/>
  <c r="E26" i="15"/>
  <c r="F6" i="15"/>
  <c r="E13" i="15"/>
  <c r="E19" i="15"/>
  <c r="E25" i="15"/>
  <c r="E27" i="15"/>
  <c r="E17" i="15"/>
  <c r="E9" i="15"/>
  <c r="E10" i="15"/>
  <c r="E15" i="15"/>
  <c r="E24" i="15"/>
  <c r="E18" i="15"/>
  <c r="E5" i="15"/>
  <c r="E23" i="15"/>
  <c r="E11" i="15"/>
  <c r="K12" i="14"/>
  <c r="N8" i="10"/>
  <c r="O8" i="10" s="1"/>
  <c r="P8" i="10" s="1"/>
  <c r="K8" i="10"/>
  <c r="L8" i="10" s="1"/>
  <c r="M8" i="10" s="1"/>
  <c r="S10" i="14"/>
  <c r="Q12" i="14"/>
  <c r="R10" i="14"/>
  <c r="T10" i="14"/>
  <c r="U10" i="14"/>
  <c r="P10" i="14"/>
  <c r="F7" i="1"/>
  <c r="C7" i="15"/>
  <c r="L73" i="7"/>
  <c r="N73" i="7"/>
  <c r="D6" i="7"/>
  <c r="N6" i="7"/>
  <c r="K6" i="14"/>
  <c r="AB7" i="12"/>
  <c r="AD8" i="12" s="1"/>
  <c r="R8" i="14"/>
  <c r="F6" i="7"/>
  <c r="F10" i="7"/>
  <c r="L6" i="7"/>
  <c r="T6" i="7"/>
  <c r="W7" i="12"/>
  <c r="Y8" i="12" s="1"/>
  <c r="V73" i="7"/>
  <c r="N8" i="7"/>
  <c r="AG7" i="12"/>
  <c r="AI8" i="12" s="1"/>
  <c r="D7" i="15"/>
  <c r="AB13" i="12"/>
  <c r="AD14" i="12" s="1"/>
  <c r="T73" i="7"/>
  <c r="L8" i="7"/>
  <c r="L10" i="7"/>
  <c r="D10" i="7"/>
  <c r="BA6" i="14"/>
  <c r="D6" i="14"/>
  <c r="D8" i="7"/>
  <c r="K8" i="14"/>
  <c r="F8" i="7"/>
  <c r="BA8" i="14"/>
  <c r="AG13" i="12"/>
  <c r="AI14" i="12" s="1"/>
  <c r="L75" i="7"/>
  <c r="V6" i="7"/>
  <c r="R6" i="14"/>
  <c r="AG19" i="12"/>
  <c r="AI20" i="12" s="1"/>
  <c r="N75" i="7"/>
  <c r="AG25" i="12"/>
  <c r="AI26" i="12" s="1"/>
  <c r="AB19" i="12"/>
  <c r="AD20" i="12" s="1"/>
  <c r="Q9" i="11"/>
  <c r="P9" i="11" s="1"/>
  <c r="O9" i="11" s="1"/>
  <c r="N9" i="11" s="1"/>
  <c r="M9" i="11" s="1"/>
  <c r="L9" i="11" s="1"/>
  <c r="S9" i="11" s="1"/>
  <c r="R10" i="11"/>
  <c r="Y6" i="14"/>
  <c r="BH6" i="14"/>
  <c r="AA9" i="11"/>
  <c r="AB8" i="11"/>
  <c r="W8" i="11"/>
  <c r="U8" i="11"/>
  <c r="AJ8" i="11"/>
  <c r="Y8" i="11"/>
  <c r="V8" i="11"/>
  <c r="F10" i="10"/>
  <c r="G9" i="10"/>
  <c r="H9" i="10" s="1"/>
  <c r="I9" i="10" s="1"/>
  <c r="U9" i="10"/>
  <c r="V9" i="10" s="1"/>
  <c r="D8" i="14"/>
  <c r="N7" i="10"/>
  <c r="O7" i="10" s="1"/>
  <c r="P7" i="10" s="1"/>
  <c r="K7" i="10"/>
  <c r="L7" i="10" s="1"/>
  <c r="M7" i="10" s="1"/>
  <c r="S10" i="12" l="1"/>
  <c r="R7" i="12"/>
  <c r="T8" i="12" s="1"/>
  <c r="AH31" i="12"/>
  <c r="AG31" i="12" s="1"/>
  <c r="AI32" i="12" s="1"/>
  <c r="W6" i="14"/>
  <c r="Y7" i="12"/>
  <c r="X11" i="12"/>
  <c r="BN6" i="14"/>
  <c r="BO6" i="14" s="1"/>
  <c r="AB6" i="14"/>
  <c r="N77" i="7"/>
  <c r="Z8" i="11"/>
  <c r="BC8" i="14"/>
  <c r="AJ25" i="12"/>
  <c r="BB8" i="14"/>
  <c r="Z6" i="14"/>
  <c r="AZ10" i="14"/>
  <c r="AY8" i="14"/>
  <c r="AD6" i="7"/>
  <c r="V8" i="7"/>
  <c r="C12" i="7"/>
  <c r="E10" i="7"/>
  <c r="B10" i="7"/>
  <c r="G10" i="7" s="1"/>
  <c r="H10" i="7"/>
  <c r="J14" i="14"/>
  <c r="N12" i="14"/>
  <c r="M12" i="14"/>
  <c r="I12" i="14"/>
  <c r="L12" i="14"/>
  <c r="U7" i="12"/>
  <c r="S9" i="12"/>
  <c r="N7" i="12"/>
  <c r="S11" i="12"/>
  <c r="T7" i="12"/>
  <c r="BQ6" i="14"/>
  <c r="BM6" i="14"/>
  <c r="BP6" i="14"/>
  <c r="AH37" i="12"/>
  <c r="AI31" i="12"/>
  <c r="AH34" i="12"/>
  <c r="AJ31" i="12"/>
  <c r="AH35" i="12"/>
  <c r="AC31" i="12"/>
  <c r="AH33" i="12"/>
  <c r="X15" i="12"/>
  <c r="X17" i="12"/>
  <c r="Y13" i="12"/>
  <c r="Z13" i="12"/>
  <c r="S13" i="12"/>
  <c r="X16" i="12"/>
  <c r="S19" i="12"/>
  <c r="X21" i="12"/>
  <c r="Y19" i="12"/>
  <c r="X22" i="12"/>
  <c r="X23" i="12"/>
  <c r="Z19" i="12"/>
  <c r="R8" i="7"/>
  <c r="W8" i="7" s="1"/>
  <c r="X8" i="7"/>
  <c r="S10" i="7"/>
  <c r="U8" i="7"/>
  <c r="K12" i="7"/>
  <c r="M10" i="7"/>
  <c r="J10" i="7"/>
  <c r="O10" i="7" s="1"/>
  <c r="P10" i="7"/>
  <c r="Z6" i="7"/>
  <c r="AE6" i="7" s="1"/>
  <c r="AA8" i="7"/>
  <c r="AC6" i="7"/>
  <c r="AF6" i="7"/>
  <c r="AA73" i="7"/>
  <c r="AI6" i="7"/>
  <c r="AI6" i="14"/>
  <c r="AL6" i="14"/>
  <c r="AH6" i="14"/>
  <c r="BU6" i="14"/>
  <c r="AG6" i="14"/>
  <c r="AD6" i="14"/>
  <c r="AE8" i="14"/>
  <c r="U73" i="7"/>
  <c r="S75" i="7"/>
  <c r="R73" i="7"/>
  <c r="W73" i="7" s="1"/>
  <c r="X73" i="7"/>
  <c r="Z8" i="14"/>
  <c r="AA8" i="14"/>
  <c r="X10" i="14"/>
  <c r="AB8" i="14"/>
  <c r="W8" i="14"/>
  <c r="K79" i="7"/>
  <c r="P77" i="7"/>
  <c r="J77" i="7"/>
  <c r="O77" i="7" s="1"/>
  <c r="M77" i="7"/>
  <c r="BI8" i="14"/>
  <c r="BG10" i="14"/>
  <c r="BJ8" i="14"/>
  <c r="BK8" i="14"/>
  <c r="BF8" i="14"/>
  <c r="AE25" i="12"/>
  <c r="AC28" i="12"/>
  <c r="AD25" i="12"/>
  <c r="AC27" i="12"/>
  <c r="AC29" i="12"/>
  <c r="X25" i="12"/>
  <c r="AE8" i="11"/>
  <c r="AK8" i="11"/>
  <c r="AJ9" i="11"/>
  <c r="AD8" i="11"/>
  <c r="AG8" i="11"/>
  <c r="I18" i="11"/>
  <c r="AH8" i="11"/>
  <c r="AI8" i="11"/>
  <c r="AF8" i="11"/>
  <c r="Q10" i="11"/>
  <c r="P10" i="11" s="1"/>
  <c r="O10" i="11" s="1"/>
  <c r="N10" i="11" s="1"/>
  <c r="M10" i="11" s="1"/>
  <c r="L10" i="11" s="1"/>
  <c r="S10" i="11" s="1"/>
  <c r="R11" i="11"/>
  <c r="F23" i="15"/>
  <c r="F12" i="15"/>
  <c r="F8" i="15"/>
  <c r="F13" i="15"/>
  <c r="F24" i="15"/>
  <c r="F26" i="15"/>
  <c r="F20" i="15"/>
  <c r="F21" i="15"/>
  <c r="F27" i="15"/>
  <c r="F15" i="15"/>
  <c r="F7" i="15"/>
  <c r="F22" i="15"/>
  <c r="F14" i="15"/>
  <c r="F9" i="15"/>
  <c r="F5" i="15"/>
  <c r="F11" i="15"/>
  <c r="F19" i="15"/>
  <c r="F25" i="15"/>
  <c r="F16" i="15"/>
  <c r="F10" i="15"/>
  <c r="F17" i="15"/>
  <c r="G6" i="15"/>
  <c r="F18" i="15"/>
  <c r="F12" i="14"/>
  <c r="E12" i="14"/>
  <c r="C14" i="14"/>
  <c r="G12" i="14"/>
  <c r="B12" i="14"/>
  <c r="D12" i="14"/>
  <c r="R7" i="10"/>
  <c r="T7" i="10" s="1"/>
  <c r="Q7" i="10"/>
  <c r="S7" i="10" s="1"/>
  <c r="Q8" i="10"/>
  <c r="S8" i="10" s="1"/>
  <c r="R8" i="10"/>
  <c r="T8" i="10" s="1"/>
  <c r="AA10" i="11"/>
  <c r="Z9" i="11"/>
  <c r="Y9" i="11" s="1"/>
  <c r="X9" i="11" s="1"/>
  <c r="W9" i="11" s="1"/>
  <c r="V9" i="11" s="1"/>
  <c r="U9" i="11" s="1"/>
  <c r="AB9" i="11" s="1"/>
  <c r="S12" i="14"/>
  <c r="R12" i="14"/>
  <c r="U12" i="14"/>
  <c r="T12" i="14"/>
  <c r="Q14" i="14"/>
  <c r="P12" i="14"/>
  <c r="R6" i="10"/>
  <c r="T6" i="10" s="1"/>
  <c r="Q6" i="10"/>
  <c r="S6" i="10" s="1"/>
  <c r="J9" i="10"/>
  <c r="G10" i="10"/>
  <c r="H10" i="10" s="1"/>
  <c r="I10" i="10" s="1"/>
  <c r="F11" i="10"/>
  <c r="U10" i="10"/>
  <c r="V10" i="10" s="1"/>
  <c r="BR6" i="14" l="1"/>
  <c r="BN8" i="14"/>
  <c r="W8" i="10"/>
  <c r="AY10" i="14"/>
  <c r="AZ12" i="14"/>
  <c r="BA10" i="14"/>
  <c r="BB10" i="14"/>
  <c r="BD10" i="14"/>
  <c r="BC10" i="14"/>
  <c r="B12" i="7"/>
  <c r="G12" i="7" s="1"/>
  <c r="H12" i="7"/>
  <c r="E12" i="7"/>
  <c r="C14" i="7"/>
  <c r="F12" i="7"/>
  <c r="D12" i="7"/>
  <c r="J16" i="14"/>
  <c r="M14" i="14"/>
  <c r="N14" i="14"/>
  <c r="I14" i="14"/>
  <c r="L14" i="14"/>
  <c r="K14" i="14"/>
  <c r="N10" i="12"/>
  <c r="I7" i="12"/>
  <c r="N11" i="12"/>
  <c r="O7" i="12"/>
  <c r="P7" i="12"/>
  <c r="N9" i="12"/>
  <c r="M7" i="12"/>
  <c r="O8" i="12" s="1"/>
  <c r="AH6" i="7"/>
  <c r="AM6" i="7" s="1"/>
  <c r="AQ6" i="7"/>
  <c r="AK6" i="7"/>
  <c r="AN6" i="7"/>
  <c r="AI73" i="7"/>
  <c r="AI8" i="7"/>
  <c r="AJ6" i="7"/>
  <c r="AL6" i="7"/>
  <c r="AF8" i="14"/>
  <c r="AD8" i="14"/>
  <c r="AG8" i="14"/>
  <c r="AH8" i="14"/>
  <c r="AE10" i="14"/>
  <c r="AI8" i="14"/>
  <c r="AA75" i="7"/>
  <c r="AC73" i="7"/>
  <c r="Z73" i="7"/>
  <c r="AE73" i="7" s="1"/>
  <c r="AF73" i="7"/>
  <c r="AD73" i="7"/>
  <c r="AB73" i="7"/>
  <c r="P12" i="7"/>
  <c r="K14" i="7"/>
  <c r="J12" i="7"/>
  <c r="O12" i="7" s="1"/>
  <c r="M12" i="7"/>
  <c r="N12" i="7"/>
  <c r="L12" i="7"/>
  <c r="AH40" i="12"/>
  <c r="AI38" i="12"/>
  <c r="AH41" i="12"/>
  <c r="AJ37" i="12"/>
  <c r="AH39" i="12"/>
  <c r="AI37" i="12"/>
  <c r="AC37" i="12"/>
  <c r="AI39" i="12"/>
  <c r="AG37" i="12"/>
  <c r="W10" i="14"/>
  <c r="AB10" i="14"/>
  <c r="Z10" i="14"/>
  <c r="AA10" i="14"/>
  <c r="X12" i="14"/>
  <c r="Y10" i="14"/>
  <c r="Y25" i="12"/>
  <c r="S25" i="12"/>
  <c r="W25" i="12"/>
  <c r="Y26" i="12" s="1"/>
  <c r="X27" i="12"/>
  <c r="Z25" i="12"/>
  <c r="X28" i="12"/>
  <c r="X29" i="12"/>
  <c r="BX6" i="14"/>
  <c r="BY6" i="14"/>
  <c r="BT6" i="14"/>
  <c r="BW6" i="14"/>
  <c r="BV6" i="14"/>
  <c r="BU8" i="14"/>
  <c r="AA10" i="7"/>
  <c r="AF8" i="7"/>
  <c r="Z8" i="7"/>
  <c r="AE8" i="7" s="1"/>
  <c r="AC8" i="7"/>
  <c r="AB8" i="7"/>
  <c r="AD8" i="7"/>
  <c r="S22" i="12"/>
  <c r="S23" i="12"/>
  <c r="N19" i="12"/>
  <c r="S21" i="12"/>
  <c r="U19" i="12"/>
  <c r="T19" i="12"/>
  <c r="R19" i="12"/>
  <c r="T20" i="12" s="1"/>
  <c r="AC35" i="12"/>
  <c r="AC33" i="12"/>
  <c r="AD31" i="12"/>
  <c r="AE31" i="12"/>
  <c r="AC34" i="12"/>
  <c r="X31" i="12"/>
  <c r="AB31" i="12"/>
  <c r="AD32" i="12" s="1"/>
  <c r="BM8" i="14"/>
  <c r="BR8" i="14"/>
  <c r="BQ8" i="14"/>
  <c r="BN10" i="14"/>
  <c r="BP8" i="14"/>
  <c r="BO8" i="14"/>
  <c r="S12" i="7"/>
  <c r="R10" i="7"/>
  <c r="W10" i="7" s="1"/>
  <c r="U10" i="7"/>
  <c r="X10" i="7"/>
  <c r="V10" i="7"/>
  <c r="T10" i="7"/>
  <c r="BF10" i="14"/>
  <c r="BJ10" i="14"/>
  <c r="BG12" i="14"/>
  <c r="BK10" i="14"/>
  <c r="BI10" i="14"/>
  <c r="BH10" i="14"/>
  <c r="AK6" i="14"/>
  <c r="AP6" i="14"/>
  <c r="AO6" i="14"/>
  <c r="CB6" i="14"/>
  <c r="AL8" i="14"/>
  <c r="AM6" i="14"/>
  <c r="AS6" i="14"/>
  <c r="AN6" i="14"/>
  <c r="S15" i="12"/>
  <c r="U13" i="12"/>
  <c r="N13" i="12"/>
  <c r="S17" i="12"/>
  <c r="T13" i="12"/>
  <c r="S16" i="12"/>
  <c r="R13" i="12"/>
  <c r="T14" i="12" s="1"/>
  <c r="W6" i="10"/>
  <c r="W7" i="10"/>
  <c r="K81" i="7"/>
  <c r="J79" i="7"/>
  <c r="O79" i="7" s="1"/>
  <c r="P79" i="7"/>
  <c r="M79" i="7"/>
  <c r="L79" i="7"/>
  <c r="N79" i="7"/>
  <c r="S77" i="7"/>
  <c r="X75" i="7"/>
  <c r="U75" i="7"/>
  <c r="R75" i="7"/>
  <c r="W75" i="7" s="1"/>
  <c r="V75" i="7"/>
  <c r="T75" i="7"/>
  <c r="AJ10" i="11"/>
  <c r="AI9" i="11"/>
  <c r="AH9" i="11" s="1"/>
  <c r="AG9" i="11" s="1"/>
  <c r="AF9" i="11" s="1"/>
  <c r="AE9" i="11" s="1"/>
  <c r="AD9" i="11" s="1"/>
  <c r="AK9" i="11" s="1"/>
  <c r="M12" i="11"/>
  <c r="Q12" i="11"/>
  <c r="Q11" i="11"/>
  <c r="P11" i="11" s="1"/>
  <c r="O11" i="11" s="1"/>
  <c r="N11" i="11" s="1"/>
  <c r="M11" i="11" s="1"/>
  <c r="L11" i="11" s="1"/>
  <c r="S11" i="11" s="1"/>
  <c r="R13" i="11"/>
  <c r="P13" i="11"/>
  <c r="L13" i="11"/>
  <c r="S13" i="11" s="1"/>
  <c r="Q13" i="11"/>
  <c r="N12" i="11"/>
  <c r="M13" i="11"/>
  <c r="N13" i="11"/>
  <c r="O12" i="11"/>
  <c r="P12" i="11"/>
  <c r="R12" i="11"/>
  <c r="O13" i="11"/>
  <c r="L12" i="11"/>
  <c r="S12" i="11" s="1"/>
  <c r="F14" i="14"/>
  <c r="E14" i="14"/>
  <c r="C16" i="14"/>
  <c r="B14" i="14"/>
  <c r="G14" i="14"/>
  <c r="D14" i="14"/>
  <c r="F12" i="10"/>
  <c r="U11" i="10"/>
  <c r="V11" i="10" s="1"/>
  <c r="G11" i="10"/>
  <c r="H11" i="10" s="1"/>
  <c r="I11" i="10" s="1"/>
  <c r="N9" i="10"/>
  <c r="O9" i="10" s="1"/>
  <c r="P9" i="10" s="1"/>
  <c r="K9" i="10"/>
  <c r="L9" i="10" s="1"/>
  <c r="M9" i="10" s="1"/>
  <c r="J10" i="10"/>
  <c r="AA11" i="11"/>
  <c r="Z10" i="11"/>
  <c r="Y10" i="11" s="1"/>
  <c r="X10" i="11" s="1"/>
  <c r="W10" i="11" s="1"/>
  <c r="V10" i="11" s="1"/>
  <c r="U10" i="11" s="1"/>
  <c r="AB10" i="11" s="1"/>
  <c r="R18" i="11"/>
  <c r="J18" i="11"/>
  <c r="G18" i="11"/>
  <c r="C18" i="11"/>
  <c r="D18" i="11"/>
  <c r="H18" i="11"/>
  <c r="I19" i="11"/>
  <c r="E18" i="11"/>
  <c r="F18" i="11"/>
  <c r="G17" i="15"/>
  <c r="G10" i="15"/>
  <c r="G16" i="15"/>
  <c r="G25" i="15"/>
  <c r="G14" i="15"/>
  <c r="H6" i="15"/>
  <c r="G8" i="15"/>
  <c r="G5" i="15"/>
  <c r="G26" i="15"/>
  <c r="G24" i="15"/>
  <c r="G21" i="15"/>
  <c r="G11" i="15"/>
  <c r="G19" i="15"/>
  <c r="G9" i="15"/>
  <c r="G13" i="15"/>
  <c r="G27" i="15"/>
  <c r="G15" i="15"/>
  <c r="G7" i="15"/>
  <c r="G23" i="15"/>
  <c r="G12" i="15"/>
  <c r="G22" i="15"/>
  <c r="G20" i="15"/>
  <c r="G18" i="15"/>
  <c r="S14" i="14"/>
  <c r="U14" i="14"/>
  <c r="T14" i="14"/>
  <c r="P14" i="14"/>
  <c r="Q16" i="14"/>
  <c r="R14" i="14"/>
  <c r="BB12" i="14" l="1"/>
  <c r="AZ14" i="14"/>
  <c r="BD12" i="14"/>
  <c r="AY12" i="14"/>
  <c r="BC12" i="14"/>
  <c r="BA12" i="14"/>
  <c r="D14" i="7"/>
  <c r="E14" i="7"/>
  <c r="H14" i="7"/>
  <c r="C16" i="7"/>
  <c r="F14" i="7"/>
  <c r="B14" i="7"/>
  <c r="G14" i="7" s="1"/>
  <c r="M16" i="14"/>
  <c r="L16" i="14"/>
  <c r="I16" i="14"/>
  <c r="K16" i="14"/>
  <c r="J18" i="14"/>
  <c r="N16" i="14"/>
  <c r="D7" i="12"/>
  <c r="J7" i="12"/>
  <c r="I10" i="12"/>
  <c r="I11" i="12"/>
  <c r="J8" i="12"/>
  <c r="K7" i="12"/>
  <c r="I9" i="12"/>
  <c r="H7" i="12"/>
  <c r="P13" i="12"/>
  <c r="O13" i="12"/>
  <c r="I13" i="12"/>
  <c r="N15" i="12"/>
  <c r="N17" i="12"/>
  <c r="N16" i="12"/>
  <c r="M13" i="12"/>
  <c r="O14" i="12" s="1"/>
  <c r="CF6" i="14"/>
  <c r="CE6" i="14"/>
  <c r="CB8" i="14"/>
  <c r="CC6" i="14"/>
  <c r="CA6" i="14"/>
  <c r="CD6" i="14"/>
  <c r="AE37" i="12"/>
  <c r="X37" i="12"/>
  <c r="AC40" i="12"/>
  <c r="AD38" i="12"/>
  <c r="AD39" i="12"/>
  <c r="AC41" i="12"/>
  <c r="AC39" i="12"/>
  <c r="AB37" i="12"/>
  <c r="AD37" i="12"/>
  <c r="P81" i="7"/>
  <c r="J81" i="7"/>
  <c r="O81" i="7" s="1"/>
  <c r="M81" i="7"/>
  <c r="K83" i="7"/>
  <c r="L81" i="7"/>
  <c r="N81" i="7"/>
  <c r="I19" i="12"/>
  <c r="O19" i="12"/>
  <c r="N23" i="12"/>
  <c r="N22" i="12"/>
  <c r="N21" i="12"/>
  <c r="P19" i="12"/>
  <c r="M19" i="12"/>
  <c r="O20" i="12" s="1"/>
  <c r="AA12" i="7"/>
  <c r="Z10" i="7"/>
  <c r="AE10" i="7" s="1"/>
  <c r="AF10" i="7"/>
  <c r="AC10" i="7"/>
  <c r="AB10" i="7"/>
  <c r="AD10" i="7"/>
  <c r="W12" i="14"/>
  <c r="X14" i="14"/>
  <c r="AB12" i="14"/>
  <c r="Y12" i="14"/>
  <c r="AA12" i="14"/>
  <c r="Z12" i="14"/>
  <c r="AI10" i="7"/>
  <c r="AH8" i="7"/>
  <c r="AM8" i="7" s="1"/>
  <c r="AN8" i="7"/>
  <c r="AK8" i="7"/>
  <c r="AJ8" i="7"/>
  <c r="AL8" i="7"/>
  <c r="BR10" i="14"/>
  <c r="BQ10" i="14"/>
  <c r="BP10" i="14"/>
  <c r="BM10" i="14"/>
  <c r="BN12" i="14"/>
  <c r="BO10" i="14"/>
  <c r="BX8" i="14"/>
  <c r="BY8" i="14"/>
  <c r="BT8" i="14"/>
  <c r="BU10" i="14"/>
  <c r="BW8" i="14"/>
  <c r="BV8" i="14"/>
  <c r="AA77" i="7"/>
  <c r="AF75" i="7"/>
  <c r="Z75" i="7"/>
  <c r="AE75" i="7" s="1"/>
  <c r="AC75" i="7"/>
  <c r="AD75" i="7"/>
  <c r="AB75" i="7"/>
  <c r="AK73" i="7"/>
  <c r="AN73" i="7"/>
  <c r="AH73" i="7"/>
  <c r="AM73" i="7" s="1"/>
  <c r="AI75" i="7"/>
  <c r="AJ73" i="7"/>
  <c r="AL73" i="7"/>
  <c r="S79" i="7"/>
  <c r="U77" i="7"/>
  <c r="X77" i="7"/>
  <c r="R77" i="7"/>
  <c r="W77" i="7" s="1"/>
  <c r="V77" i="7"/>
  <c r="T77" i="7"/>
  <c r="K16" i="7"/>
  <c r="P14" i="7"/>
  <c r="J14" i="7"/>
  <c r="O14" i="7" s="1"/>
  <c r="M14" i="7"/>
  <c r="N14" i="7"/>
  <c r="L14" i="7"/>
  <c r="AE12" i="14"/>
  <c r="AI10" i="14"/>
  <c r="AF10" i="14"/>
  <c r="AH10" i="14"/>
  <c r="AD10" i="14"/>
  <c r="AG10" i="14"/>
  <c r="AU6" i="14"/>
  <c r="AR6" i="14"/>
  <c r="AS8" i="14"/>
  <c r="AT6" i="14"/>
  <c r="AV6" i="14"/>
  <c r="AW6" i="14"/>
  <c r="C73" i="7"/>
  <c r="AS6" i="7"/>
  <c r="AQ8" i="7"/>
  <c r="AQ73" i="7"/>
  <c r="AV6" i="7"/>
  <c r="AP6" i="7"/>
  <c r="AU6" i="7" s="1"/>
  <c r="AT6" i="7"/>
  <c r="AR6" i="7"/>
  <c r="R25" i="12"/>
  <c r="T26" i="12"/>
  <c r="N25" i="12"/>
  <c r="S27" i="12"/>
  <c r="U25" i="12"/>
  <c r="S28" i="12"/>
  <c r="S29" i="12"/>
  <c r="T25" i="12"/>
  <c r="AM8" i="14"/>
  <c r="AN8" i="14"/>
  <c r="AL10" i="14"/>
  <c r="AK8" i="14"/>
  <c r="AP8" i="14"/>
  <c r="AO8" i="14"/>
  <c r="BJ12" i="14"/>
  <c r="BG14" i="14"/>
  <c r="BF12" i="14"/>
  <c r="BK12" i="14"/>
  <c r="BI12" i="14"/>
  <c r="BH12" i="14"/>
  <c r="S14" i="7"/>
  <c r="X12" i="7"/>
  <c r="U12" i="7"/>
  <c r="R12" i="7"/>
  <c r="W12" i="7" s="1"/>
  <c r="T12" i="7"/>
  <c r="V12" i="7"/>
  <c r="S31" i="12"/>
  <c r="W31" i="12"/>
  <c r="Y32" i="12" s="1"/>
  <c r="X35" i="12"/>
  <c r="Y31" i="12"/>
  <c r="Z31" i="12"/>
  <c r="X34" i="12"/>
  <c r="X33" i="12"/>
  <c r="P16" i="14"/>
  <c r="R16" i="14"/>
  <c r="Q18" i="14"/>
  <c r="U16" i="14"/>
  <c r="T16" i="14"/>
  <c r="S16" i="14"/>
  <c r="N18" i="11"/>
  <c r="O18" i="11"/>
  <c r="AA18" i="11"/>
  <c r="M18" i="11"/>
  <c r="L18" i="11"/>
  <c r="S18" i="11"/>
  <c r="Q18" i="11"/>
  <c r="P18" i="11"/>
  <c r="R19" i="11"/>
  <c r="AA13" i="11"/>
  <c r="V12" i="11"/>
  <c r="V13" i="11"/>
  <c r="Z11" i="11"/>
  <c r="Y11" i="11" s="1"/>
  <c r="X11" i="11" s="1"/>
  <c r="W11" i="11" s="1"/>
  <c r="V11" i="11" s="1"/>
  <c r="U11" i="11" s="1"/>
  <c r="AB11" i="11" s="1"/>
  <c r="Y12" i="11"/>
  <c r="X12" i="11"/>
  <c r="W13" i="11"/>
  <c r="Y13" i="11"/>
  <c r="U12" i="11"/>
  <c r="AB12" i="11" s="1"/>
  <c r="X13" i="11"/>
  <c r="AA12" i="11"/>
  <c r="Z12" i="11"/>
  <c r="Z13" i="11"/>
  <c r="W12" i="11"/>
  <c r="U13" i="11"/>
  <c r="AB13" i="11" s="1"/>
  <c r="J11" i="10"/>
  <c r="AJ11" i="11"/>
  <c r="AI10" i="11"/>
  <c r="AH10" i="11" s="1"/>
  <c r="AG10" i="11" s="1"/>
  <c r="AF10" i="11" s="1"/>
  <c r="AE10" i="11" s="1"/>
  <c r="AD10" i="11" s="1"/>
  <c r="AK10" i="11" s="1"/>
  <c r="N10" i="10"/>
  <c r="O10" i="10" s="1"/>
  <c r="P10" i="10" s="1"/>
  <c r="K10" i="10"/>
  <c r="L10" i="10" s="1"/>
  <c r="M10" i="10" s="1"/>
  <c r="H19" i="11"/>
  <c r="G19" i="11" s="1"/>
  <c r="F19" i="11" s="1"/>
  <c r="E19" i="11" s="1"/>
  <c r="D19" i="11" s="1"/>
  <c r="C19" i="11" s="1"/>
  <c r="J19" i="11" s="1"/>
  <c r="I20" i="11"/>
  <c r="F13" i="10"/>
  <c r="G12" i="10"/>
  <c r="H12" i="10" s="1"/>
  <c r="I12" i="10" s="1"/>
  <c r="U12" i="10"/>
  <c r="V12" i="10" s="1"/>
  <c r="B16" i="14"/>
  <c r="G16" i="14"/>
  <c r="E16" i="14"/>
  <c r="F16" i="14"/>
  <c r="C18" i="14"/>
  <c r="D16" i="14"/>
  <c r="H27" i="15"/>
  <c r="H13" i="15"/>
  <c r="I6" i="15"/>
  <c r="H17" i="15"/>
  <c r="H26" i="15"/>
  <c r="H14" i="15"/>
  <c r="H25" i="15"/>
  <c r="H20" i="15"/>
  <c r="H12" i="15"/>
  <c r="H19" i="15"/>
  <c r="H9" i="15"/>
  <c r="H5" i="15"/>
  <c r="H8" i="15"/>
  <c r="H16" i="15"/>
  <c r="H7" i="15"/>
  <c r="H22" i="15"/>
  <c r="H18" i="15"/>
  <c r="H15" i="15"/>
  <c r="H10" i="15"/>
  <c r="H21" i="15"/>
  <c r="H23" i="15"/>
  <c r="H11" i="15"/>
  <c r="H24" i="15"/>
  <c r="R9" i="10"/>
  <c r="T9" i="10" s="1"/>
  <c r="Q9" i="10"/>
  <c r="S9" i="10" s="1"/>
  <c r="W9" i="10" s="1"/>
  <c r="AY14" i="14" l="1"/>
  <c r="BA14" i="14"/>
  <c r="BB14" i="14"/>
  <c r="AZ16" i="14"/>
  <c r="BD14" i="14"/>
  <c r="BC14" i="14"/>
  <c r="H16" i="7"/>
  <c r="D16" i="7"/>
  <c r="C18" i="7"/>
  <c r="B16" i="7"/>
  <c r="G16" i="7" s="1"/>
  <c r="F16" i="7"/>
  <c r="E16" i="7"/>
  <c r="K18" i="14"/>
  <c r="L18" i="14"/>
  <c r="N18" i="14"/>
  <c r="I18" i="14"/>
  <c r="J20" i="14"/>
  <c r="M18" i="14"/>
  <c r="D10" i="12"/>
  <c r="D9" i="12"/>
  <c r="E7" i="12"/>
  <c r="D11" i="12"/>
  <c r="F7" i="12"/>
  <c r="C7" i="12"/>
  <c r="E8" i="12" s="1"/>
  <c r="AV73" i="7"/>
  <c r="C91" i="1"/>
  <c r="AQ75" i="7"/>
  <c r="AP73" i="7"/>
  <c r="AU73" i="7" s="1"/>
  <c r="AS73" i="7"/>
  <c r="AT73" i="7"/>
  <c r="AR73" i="7"/>
  <c r="BX10" i="14"/>
  <c r="BW10" i="14"/>
  <c r="BT10" i="14"/>
  <c r="BV10" i="14"/>
  <c r="BU12" i="14"/>
  <c r="BY10" i="14"/>
  <c r="S37" i="12"/>
  <c r="X41" i="12"/>
  <c r="X40" i="12"/>
  <c r="X39" i="12"/>
  <c r="W37" i="12"/>
  <c r="Y37" i="12"/>
  <c r="Y39" i="12"/>
  <c r="Z37" i="12"/>
  <c r="Y38" i="12"/>
  <c r="U31" i="12"/>
  <c r="S35" i="12"/>
  <c r="S34" i="12"/>
  <c r="T31" i="12"/>
  <c r="R31" i="12"/>
  <c r="T32" i="12" s="1"/>
  <c r="S33" i="12"/>
  <c r="N31" i="12"/>
  <c r="AL12" i="14"/>
  <c r="AN10" i="14"/>
  <c r="AK10" i="14"/>
  <c r="AP10" i="14"/>
  <c r="AM10" i="14"/>
  <c r="AO10" i="14"/>
  <c r="P25" i="12"/>
  <c r="N28" i="12"/>
  <c r="M25" i="12"/>
  <c r="O26" i="12" s="1"/>
  <c r="N27" i="12"/>
  <c r="I25" i="12"/>
  <c r="N29" i="12"/>
  <c r="O25" i="12"/>
  <c r="AP8" i="7"/>
  <c r="AU8" i="7" s="1"/>
  <c r="AQ10" i="7"/>
  <c r="AS8" i="7"/>
  <c r="AV8" i="7"/>
  <c r="AT8" i="7"/>
  <c r="AR8" i="7"/>
  <c r="S81" i="7"/>
  <c r="U79" i="7"/>
  <c r="X79" i="7"/>
  <c r="R79" i="7"/>
  <c r="W79" i="7" s="1"/>
  <c r="T79" i="7"/>
  <c r="V79" i="7"/>
  <c r="J19" i="12"/>
  <c r="K19" i="12"/>
  <c r="I22" i="12"/>
  <c r="I23" i="12"/>
  <c r="D19" i="12"/>
  <c r="I21" i="12"/>
  <c r="H19" i="12"/>
  <c r="J20" i="12" s="1"/>
  <c r="C75" i="7"/>
  <c r="H73" i="7"/>
  <c r="B73" i="7"/>
  <c r="G73" i="7" s="1"/>
  <c r="E73" i="7"/>
  <c r="D73" i="7"/>
  <c r="F73" i="7"/>
  <c r="K18" i="7"/>
  <c r="J16" i="7"/>
  <c r="O16" i="7" s="1"/>
  <c r="P16" i="7"/>
  <c r="M16" i="7"/>
  <c r="L16" i="7"/>
  <c r="N16" i="7"/>
  <c r="AC12" i="7"/>
  <c r="AA14" i="7"/>
  <c r="Z12" i="7"/>
  <c r="AE12" i="7" s="1"/>
  <c r="AF12" i="7"/>
  <c r="AD12" i="7"/>
  <c r="AB12" i="7"/>
  <c r="BG16" i="14"/>
  <c r="BJ14" i="14"/>
  <c r="BI14" i="14"/>
  <c r="BK14" i="14"/>
  <c r="BF14" i="14"/>
  <c r="BH14" i="14"/>
  <c r="AI77" i="7"/>
  <c r="AK75" i="7"/>
  <c r="AH75" i="7"/>
  <c r="AM75" i="7" s="1"/>
  <c r="AN75" i="7"/>
  <c r="AL75" i="7"/>
  <c r="AJ75" i="7"/>
  <c r="X16" i="14"/>
  <c r="W14" i="14"/>
  <c r="Y14" i="14"/>
  <c r="AA14" i="14"/>
  <c r="Z14" i="14"/>
  <c r="AB14" i="14"/>
  <c r="I16" i="12"/>
  <c r="K13" i="12"/>
  <c r="I17" i="12"/>
  <c r="D13" i="12"/>
  <c r="J13" i="12"/>
  <c r="I15" i="12"/>
  <c r="H13" i="12"/>
  <c r="J14" i="12" s="1"/>
  <c r="AA79" i="7"/>
  <c r="AF77" i="7"/>
  <c r="AC77" i="7"/>
  <c r="Z77" i="7"/>
  <c r="AE77" i="7" s="1"/>
  <c r="AD77" i="7"/>
  <c r="AB77" i="7"/>
  <c r="BN14" i="14"/>
  <c r="BQ12" i="14"/>
  <c r="BP12" i="14"/>
  <c r="BR12" i="14"/>
  <c r="BM12" i="14"/>
  <c r="BO12" i="14"/>
  <c r="P83" i="7"/>
  <c r="K85" i="7"/>
  <c r="M83" i="7"/>
  <c r="J83" i="7"/>
  <c r="O83" i="7" s="1"/>
  <c r="N83" i="7"/>
  <c r="L83" i="7"/>
  <c r="CA8" i="14"/>
  <c r="CC8" i="14"/>
  <c r="CD8" i="14"/>
  <c r="CB10" i="14"/>
  <c r="CF8" i="14"/>
  <c r="CE8" i="14"/>
  <c r="U14" i="7"/>
  <c r="S16" i="7"/>
  <c r="X14" i="7"/>
  <c r="R14" i="7"/>
  <c r="W14" i="7" s="1"/>
  <c r="T14" i="7"/>
  <c r="V14" i="7"/>
  <c r="AU8" i="14"/>
  <c r="AR8" i="14"/>
  <c r="AS10" i="14"/>
  <c r="AT8" i="14"/>
  <c r="AV8" i="14"/>
  <c r="AW8" i="14"/>
  <c r="AH12" i="14"/>
  <c r="AD12" i="14"/>
  <c r="AG12" i="14"/>
  <c r="AI12" i="14"/>
  <c r="AF12" i="14"/>
  <c r="AE14" i="14"/>
  <c r="AH10" i="7"/>
  <c r="AM10" i="7" s="1"/>
  <c r="AK10" i="7"/>
  <c r="AN10" i="7"/>
  <c r="AI12" i="7"/>
  <c r="AJ10" i="7"/>
  <c r="AL10" i="7"/>
  <c r="J12" i="10"/>
  <c r="R20" i="11"/>
  <c r="Q19" i="11"/>
  <c r="P19" i="11" s="1"/>
  <c r="O19" i="11" s="1"/>
  <c r="N19" i="11" s="1"/>
  <c r="M19" i="11" s="1"/>
  <c r="L19" i="11" s="1"/>
  <c r="S19" i="11" s="1"/>
  <c r="C20" i="14"/>
  <c r="E18" i="14"/>
  <c r="G18" i="14"/>
  <c r="B18" i="14"/>
  <c r="D18" i="14"/>
  <c r="F18" i="14"/>
  <c r="F14" i="10"/>
  <c r="G13" i="10"/>
  <c r="H13" i="10" s="1"/>
  <c r="I13" i="10" s="1"/>
  <c r="U13" i="10"/>
  <c r="V13" i="10" s="1"/>
  <c r="I11" i="15"/>
  <c r="I13" i="15"/>
  <c r="J6" i="15"/>
  <c r="I20" i="15"/>
  <c r="I27" i="15"/>
  <c r="I7" i="15"/>
  <c r="I8" i="15"/>
  <c r="I17" i="15"/>
  <c r="I15" i="15"/>
  <c r="I9" i="15"/>
  <c r="I23" i="15"/>
  <c r="I14" i="15"/>
  <c r="I10" i="15"/>
  <c r="I12" i="15"/>
  <c r="I22" i="15"/>
  <c r="I18" i="15"/>
  <c r="I19" i="15"/>
  <c r="I26" i="15"/>
  <c r="I21" i="15"/>
  <c r="I24" i="15"/>
  <c r="I25" i="15"/>
  <c r="I5" i="15"/>
  <c r="I16" i="15"/>
  <c r="I21" i="11"/>
  <c r="H20" i="11"/>
  <c r="G20" i="11" s="1"/>
  <c r="F20" i="11" s="1"/>
  <c r="E20" i="11" s="1"/>
  <c r="D20" i="11" s="1"/>
  <c r="C20" i="11" s="1"/>
  <c r="J20" i="11" s="1"/>
  <c r="Q10" i="10"/>
  <c r="S10" i="10" s="1"/>
  <c r="R10" i="10"/>
  <c r="T10" i="10" s="1"/>
  <c r="AG12" i="11"/>
  <c r="AE12" i="11"/>
  <c r="AE13" i="11"/>
  <c r="AI12" i="11"/>
  <c r="AH13" i="11"/>
  <c r="AJ13" i="11"/>
  <c r="AD12" i="11"/>
  <c r="AK12" i="11" s="1"/>
  <c r="AF13" i="11"/>
  <c r="AH12" i="11"/>
  <c r="AI11" i="11"/>
  <c r="AH11" i="11" s="1"/>
  <c r="AG11" i="11" s="1"/>
  <c r="AF11" i="11" s="1"/>
  <c r="AE11" i="11" s="1"/>
  <c r="AD11" i="11" s="1"/>
  <c r="AK11" i="11" s="1"/>
  <c r="AD13" i="11"/>
  <c r="AK13" i="11" s="1"/>
  <c r="AJ12" i="11"/>
  <c r="AG13" i="11"/>
  <c r="AI13" i="11"/>
  <c r="AF12" i="11"/>
  <c r="AB18" i="11"/>
  <c r="U18" i="11"/>
  <c r="Z18" i="11"/>
  <c r="Y18" i="11"/>
  <c r="AA19" i="11"/>
  <c r="X18" i="11"/>
  <c r="W18" i="11"/>
  <c r="V18" i="11"/>
  <c r="U15" i="11"/>
  <c r="AJ18" i="11"/>
  <c r="Q20" i="14"/>
  <c r="U18" i="14"/>
  <c r="S18" i="14"/>
  <c r="P18" i="14"/>
  <c r="R18" i="14"/>
  <c r="T18" i="14"/>
  <c r="K11" i="10"/>
  <c r="L11" i="10" s="1"/>
  <c r="M11" i="10" s="1"/>
  <c r="N11" i="10"/>
  <c r="O11" i="10" s="1"/>
  <c r="P11" i="10" s="1"/>
  <c r="AZ18" i="14" l="1"/>
  <c r="BC16" i="14"/>
  <c r="BA16" i="14"/>
  <c r="BB16" i="14"/>
  <c r="BD16" i="14"/>
  <c r="AY16" i="14"/>
  <c r="F18" i="7"/>
  <c r="C20" i="7"/>
  <c r="H18" i="7"/>
  <c r="B18" i="7"/>
  <c r="G18" i="7" s="1"/>
  <c r="D18" i="7"/>
  <c r="E18" i="7"/>
  <c r="W10" i="10"/>
  <c r="J22" i="14"/>
  <c r="N20" i="14"/>
  <c r="K20" i="14"/>
  <c r="M20" i="14"/>
  <c r="I20" i="14"/>
  <c r="L20" i="14"/>
  <c r="AV10" i="14"/>
  <c r="AR10" i="14"/>
  <c r="AT10" i="14"/>
  <c r="AS12" i="14"/>
  <c r="AU10" i="14"/>
  <c r="AW10" i="14"/>
  <c r="Z79" i="7"/>
  <c r="AE79" i="7" s="1"/>
  <c r="AC79" i="7"/>
  <c r="AF79" i="7"/>
  <c r="AA81" i="7"/>
  <c r="AD79" i="7"/>
  <c r="AB79" i="7"/>
  <c r="BI16" i="14"/>
  <c r="BG18" i="14"/>
  <c r="BF16" i="14"/>
  <c r="BK16" i="14"/>
  <c r="BJ16" i="14"/>
  <c r="BH16" i="14"/>
  <c r="AM12" i="14"/>
  <c r="AK12" i="14"/>
  <c r="AL14" i="14"/>
  <c r="AO12" i="14"/>
  <c r="AP12" i="14"/>
  <c r="AN12" i="14"/>
  <c r="R37" i="12"/>
  <c r="T38" i="12"/>
  <c r="S39" i="12"/>
  <c r="U37" i="12"/>
  <c r="S40" i="12"/>
  <c r="S41" i="12"/>
  <c r="N37" i="12"/>
  <c r="T37" i="12"/>
  <c r="T39" i="12"/>
  <c r="BM14" i="14"/>
  <c r="BQ14" i="14"/>
  <c r="BN16" i="14"/>
  <c r="BR14" i="14"/>
  <c r="BP14" i="14"/>
  <c r="BO14" i="14"/>
  <c r="AK12" i="7"/>
  <c r="AN12" i="7"/>
  <c r="AH12" i="7"/>
  <c r="AM12" i="7" s="1"/>
  <c r="AI14" i="7"/>
  <c r="AL12" i="7"/>
  <c r="AJ12" i="7"/>
  <c r="CA10" i="14"/>
  <c r="CD10" i="14"/>
  <c r="CB12" i="14"/>
  <c r="CC10" i="14"/>
  <c r="CF10" i="14"/>
  <c r="CE10" i="14"/>
  <c r="K87" i="7"/>
  <c r="P85" i="7"/>
  <c r="J85" i="7"/>
  <c r="O85" i="7" s="1"/>
  <c r="M85" i="7"/>
  <c r="N85" i="7"/>
  <c r="L85" i="7"/>
  <c r="AH77" i="7"/>
  <c r="AM77" i="7" s="1"/>
  <c r="AI79" i="7"/>
  <c r="AN77" i="7"/>
  <c r="AK77" i="7"/>
  <c r="AJ77" i="7"/>
  <c r="AL77" i="7"/>
  <c r="C77" i="7"/>
  <c r="B75" i="7"/>
  <c r="G75" i="7" s="1"/>
  <c r="E75" i="7"/>
  <c r="H75" i="7"/>
  <c r="F75" i="7"/>
  <c r="D75" i="7"/>
  <c r="AP10" i="7"/>
  <c r="AU10" i="7" s="1"/>
  <c r="AS10" i="7"/>
  <c r="AQ12" i="7"/>
  <c r="AV10" i="7"/>
  <c r="AT10" i="7"/>
  <c r="AR10" i="7"/>
  <c r="N33" i="12"/>
  <c r="N35" i="12"/>
  <c r="O31" i="12"/>
  <c r="N34" i="12"/>
  <c r="P31" i="12"/>
  <c r="I31" i="12"/>
  <c r="M31" i="12"/>
  <c r="O32" i="12" s="1"/>
  <c r="D15" i="12"/>
  <c r="E13" i="12"/>
  <c r="D17" i="12"/>
  <c r="F13" i="12"/>
  <c r="D16" i="12"/>
  <c r="C13" i="12"/>
  <c r="E14" i="12" s="1"/>
  <c r="BY12" i="14"/>
  <c r="BX12" i="14"/>
  <c r="BV12" i="14"/>
  <c r="BU14" i="14"/>
  <c r="BT12" i="14"/>
  <c r="BW12" i="14"/>
  <c r="Z16" i="14"/>
  <c r="W16" i="14"/>
  <c r="AB16" i="14"/>
  <c r="X18" i="14"/>
  <c r="AA16" i="14"/>
  <c r="Y16" i="14"/>
  <c r="J18" i="7"/>
  <c r="O18" i="7" s="1"/>
  <c r="M18" i="7"/>
  <c r="K20" i="7"/>
  <c r="P18" i="7"/>
  <c r="N18" i="7"/>
  <c r="L18" i="7"/>
  <c r="AP75" i="7"/>
  <c r="AU75" i="7" s="1"/>
  <c r="AQ77" i="7"/>
  <c r="AV75" i="7"/>
  <c r="AS75" i="7"/>
  <c r="AR75" i="7"/>
  <c r="AT75" i="7"/>
  <c r="AA16" i="7"/>
  <c r="Z14" i="7"/>
  <c r="AE14" i="7" s="1"/>
  <c r="AF14" i="7"/>
  <c r="AC14" i="7"/>
  <c r="AD14" i="7"/>
  <c r="AB14" i="7"/>
  <c r="D21" i="12"/>
  <c r="F19" i="12"/>
  <c r="E19" i="12"/>
  <c r="D22" i="12"/>
  <c r="D23" i="12"/>
  <c r="C19" i="12"/>
  <c r="E20" i="12" s="1"/>
  <c r="R81" i="7"/>
  <c r="W81" i="7" s="1"/>
  <c r="X81" i="7"/>
  <c r="U81" i="7"/>
  <c r="S83" i="7"/>
  <c r="T81" i="7"/>
  <c r="V81" i="7"/>
  <c r="B4" i="7"/>
  <c r="D61" i="3"/>
  <c r="D63" i="3"/>
  <c r="D62" i="3"/>
  <c r="AP4" i="7"/>
  <c r="B71" i="7"/>
  <c r="D64" i="3"/>
  <c r="J71" i="7"/>
  <c r="AH71" i="7"/>
  <c r="D72" i="3"/>
  <c r="C5" i="11"/>
  <c r="D68" i="3"/>
  <c r="D70" i="3"/>
  <c r="J4" i="7"/>
  <c r="D65" i="3"/>
  <c r="P4" i="14"/>
  <c r="D67" i="3"/>
  <c r="D66" i="3"/>
  <c r="I4" i="14"/>
  <c r="BM4" i="14"/>
  <c r="D73" i="3"/>
  <c r="D71" i="3"/>
  <c r="Z71" i="7"/>
  <c r="AD4" i="14"/>
  <c r="B4" i="14"/>
  <c r="R4" i="7"/>
  <c r="AH4" i="7"/>
  <c r="BF4" i="14"/>
  <c r="W4" i="14"/>
  <c r="AP71" i="7"/>
  <c r="Z4" i="7"/>
  <c r="AY4" i="14"/>
  <c r="R71" i="7"/>
  <c r="D69" i="3"/>
  <c r="C92" i="1"/>
  <c r="L5" i="11"/>
  <c r="U5" i="11"/>
  <c r="BT4" i="14"/>
  <c r="AK4" i="14"/>
  <c r="AD5" i="11"/>
  <c r="CA4" i="14"/>
  <c r="AR4" i="14"/>
  <c r="C15" i="11"/>
  <c r="L15" i="11"/>
  <c r="AI14" i="14"/>
  <c r="AG14" i="14"/>
  <c r="AE16" i="14"/>
  <c r="AF14" i="14"/>
  <c r="AH14" i="14"/>
  <c r="AD14" i="14"/>
  <c r="R16" i="7"/>
  <c r="W16" i="7" s="1"/>
  <c r="S18" i="7"/>
  <c r="X16" i="7"/>
  <c r="U16" i="7"/>
  <c r="T16" i="7"/>
  <c r="V16" i="7"/>
  <c r="J25" i="12"/>
  <c r="D25" i="12"/>
  <c r="K25" i="12"/>
  <c r="H25" i="12"/>
  <c r="J26" i="12" s="1"/>
  <c r="I28" i="12"/>
  <c r="I29" i="12"/>
  <c r="I27" i="12"/>
  <c r="C22" i="14"/>
  <c r="F20" i="14"/>
  <c r="E20" i="14"/>
  <c r="B20" i="14"/>
  <c r="G20" i="14"/>
  <c r="D20" i="14"/>
  <c r="N12" i="10"/>
  <c r="O12" i="10" s="1"/>
  <c r="P12" i="10" s="1"/>
  <c r="K12" i="10"/>
  <c r="L12" i="10" s="1"/>
  <c r="M12" i="10" s="1"/>
  <c r="Q11" i="10"/>
  <c r="S11" i="10" s="1"/>
  <c r="R11" i="10"/>
  <c r="T11" i="10" s="1"/>
  <c r="J7" i="15"/>
  <c r="J5" i="15"/>
  <c r="J12" i="15"/>
  <c r="J19" i="15"/>
  <c r="J17" i="15"/>
  <c r="J20" i="15"/>
  <c r="J13" i="15"/>
  <c r="J9" i="15"/>
  <c r="K6" i="15"/>
  <c r="J27" i="15"/>
  <c r="J15" i="15"/>
  <c r="J22" i="15"/>
  <c r="J8" i="15"/>
  <c r="J21" i="15"/>
  <c r="J23" i="15"/>
  <c r="J24" i="15"/>
  <c r="J26" i="15"/>
  <c r="J18" i="15"/>
  <c r="J10" i="15"/>
  <c r="J25" i="15"/>
  <c r="J16" i="15"/>
  <c r="J11" i="15"/>
  <c r="J14" i="15"/>
  <c r="J13" i="10"/>
  <c r="U14" i="10"/>
  <c r="V14" i="10" s="1"/>
  <c r="G14" i="10"/>
  <c r="H14" i="10" s="1"/>
  <c r="I14" i="10" s="1"/>
  <c r="F15" i="10"/>
  <c r="R21" i="11"/>
  <c r="Q20" i="11"/>
  <c r="P20" i="11" s="1"/>
  <c r="O20" i="11" s="1"/>
  <c r="N20" i="11" s="1"/>
  <c r="M20" i="11" s="1"/>
  <c r="L20" i="11" s="1"/>
  <c r="S20" i="11" s="1"/>
  <c r="AE18" i="11"/>
  <c r="AD15" i="11"/>
  <c r="AH18" i="11"/>
  <c r="AG18" i="11"/>
  <c r="AD18" i="11"/>
  <c r="AJ19" i="11"/>
  <c r="AK18" i="11"/>
  <c r="AF18" i="11"/>
  <c r="I28" i="11"/>
  <c r="AI18" i="11"/>
  <c r="AA20" i="11"/>
  <c r="Z19" i="11"/>
  <c r="Y19" i="11" s="1"/>
  <c r="X19" i="11" s="1"/>
  <c r="W19" i="11" s="1"/>
  <c r="V19" i="11" s="1"/>
  <c r="U19" i="11" s="1"/>
  <c r="AB19" i="11" s="1"/>
  <c r="S20" i="14"/>
  <c r="U20" i="14"/>
  <c r="R20" i="14"/>
  <c r="P20" i="14"/>
  <c r="T20" i="14"/>
  <c r="Q22" i="14"/>
  <c r="H23" i="11"/>
  <c r="H21" i="11"/>
  <c r="G21" i="11" s="1"/>
  <c r="F21" i="11" s="1"/>
  <c r="E21" i="11" s="1"/>
  <c r="D21" i="11" s="1"/>
  <c r="C21" i="11" s="1"/>
  <c r="J21" i="11" s="1"/>
  <c r="D23" i="11"/>
  <c r="H22" i="11"/>
  <c r="F22" i="11"/>
  <c r="D22" i="11"/>
  <c r="E22" i="11"/>
  <c r="F23" i="11"/>
  <c r="C23" i="11"/>
  <c r="J23" i="11" s="1"/>
  <c r="I22" i="11"/>
  <c r="G22" i="11"/>
  <c r="G23" i="11"/>
  <c r="I23" i="11"/>
  <c r="C22" i="11"/>
  <c r="J22" i="11" s="1"/>
  <c r="E23" i="11"/>
  <c r="BD18" i="14" l="1"/>
  <c r="BA18" i="14"/>
  <c r="BC18" i="14"/>
  <c r="BB18" i="14"/>
  <c r="AZ20" i="14"/>
  <c r="AY18" i="14"/>
  <c r="C22" i="7"/>
  <c r="F20" i="7"/>
  <c r="H20" i="7"/>
  <c r="D20" i="7"/>
  <c r="E20" i="7"/>
  <c r="B20" i="7"/>
  <c r="G20" i="7" s="1"/>
  <c r="I22" i="14"/>
  <c r="J24" i="14"/>
  <c r="M22" i="14"/>
  <c r="K22" i="14"/>
  <c r="L22" i="14"/>
  <c r="N22" i="14"/>
  <c r="AG16" i="14"/>
  <c r="AF16" i="14"/>
  <c r="AH16" i="14"/>
  <c r="AD16" i="14"/>
  <c r="AE18" i="14"/>
  <c r="AI16" i="14"/>
  <c r="AC16" i="7"/>
  <c r="AF16" i="7"/>
  <c r="AA18" i="7"/>
  <c r="Z16" i="7"/>
  <c r="AE16" i="7" s="1"/>
  <c r="AB16" i="7"/>
  <c r="AD16" i="7"/>
  <c r="P20" i="7"/>
  <c r="J20" i="7"/>
  <c r="O20" i="7" s="1"/>
  <c r="K22" i="7"/>
  <c r="M20" i="7"/>
  <c r="L20" i="7"/>
  <c r="N20" i="7"/>
  <c r="AV12" i="7"/>
  <c r="AQ14" i="7"/>
  <c r="AS12" i="7"/>
  <c r="AP12" i="7"/>
  <c r="AU12" i="7" s="1"/>
  <c r="AT12" i="7"/>
  <c r="AR12" i="7"/>
  <c r="E77" i="7"/>
  <c r="C79" i="7"/>
  <c r="H77" i="7"/>
  <c r="B77" i="7"/>
  <c r="G77" i="7" s="1"/>
  <c r="D77" i="7"/>
  <c r="F77" i="7"/>
  <c r="CD12" i="14"/>
  <c r="CC12" i="14"/>
  <c r="CB14" i="14"/>
  <c r="CF12" i="14"/>
  <c r="CA12" i="14"/>
  <c r="CE12" i="14"/>
  <c r="N39" i="12"/>
  <c r="O39" i="12"/>
  <c r="P37" i="12"/>
  <c r="O37" i="12"/>
  <c r="N41" i="12"/>
  <c r="O38" i="12"/>
  <c r="N40" i="12"/>
  <c r="I37" i="12"/>
  <c r="M37" i="12"/>
  <c r="U83" i="7"/>
  <c r="S85" i="7"/>
  <c r="R83" i="7"/>
  <c r="W83" i="7" s="1"/>
  <c r="X83" i="7"/>
  <c r="T83" i="7"/>
  <c r="V83" i="7"/>
  <c r="W11" i="10"/>
  <c r="BJ18" i="14"/>
  <c r="BG20" i="14"/>
  <c r="BK18" i="14"/>
  <c r="BI18" i="14"/>
  <c r="BF18" i="14"/>
  <c r="BH18" i="14"/>
  <c r="BW14" i="14"/>
  <c r="BU16" i="14"/>
  <c r="BT14" i="14"/>
  <c r="BX14" i="14"/>
  <c r="BV14" i="14"/>
  <c r="BY14" i="14"/>
  <c r="AN14" i="14"/>
  <c r="AP14" i="14"/>
  <c r="AO14" i="14"/>
  <c r="AK14" i="14"/>
  <c r="AM14" i="14"/>
  <c r="AL16" i="14"/>
  <c r="X18" i="7"/>
  <c r="U18" i="7"/>
  <c r="R18" i="7"/>
  <c r="W18" i="7" s="1"/>
  <c r="S20" i="7"/>
  <c r="V18" i="7"/>
  <c r="T18" i="7"/>
  <c r="D29" i="12"/>
  <c r="D28" i="12"/>
  <c r="D27" i="12"/>
  <c r="F25" i="12"/>
  <c r="E25" i="12"/>
  <c r="C25" i="12"/>
  <c r="E26" i="12" s="1"/>
  <c r="J87" i="7"/>
  <c r="O87" i="7" s="1"/>
  <c r="P87" i="7"/>
  <c r="K89" i="7"/>
  <c r="M87" i="7"/>
  <c r="N87" i="7"/>
  <c r="L87" i="7"/>
  <c r="BP16" i="14"/>
  <c r="BN18" i="14"/>
  <c r="BR16" i="14"/>
  <c r="BQ16" i="14"/>
  <c r="BM16" i="14"/>
  <c r="BO16" i="14"/>
  <c r="AV12" i="14"/>
  <c r="AT12" i="14"/>
  <c r="AW12" i="14"/>
  <c r="AR12" i="14"/>
  <c r="AS14" i="14"/>
  <c r="AU12" i="14"/>
  <c r="AH2" i="15"/>
  <c r="S3" i="11"/>
  <c r="AY2" i="14"/>
  <c r="B60" i="3"/>
  <c r="Z2" i="7"/>
  <c r="AS77" i="7"/>
  <c r="AV77" i="7"/>
  <c r="AP77" i="7"/>
  <c r="AU77" i="7" s="1"/>
  <c r="AQ79" i="7"/>
  <c r="AT77" i="7"/>
  <c r="AR77" i="7"/>
  <c r="Y18" i="14"/>
  <c r="AB18" i="14"/>
  <c r="Z18" i="14"/>
  <c r="AA18" i="14"/>
  <c r="W18" i="14"/>
  <c r="X20" i="14"/>
  <c r="AK79" i="7"/>
  <c r="AH79" i="7"/>
  <c r="AM79" i="7" s="1"/>
  <c r="AN79" i="7"/>
  <c r="AI81" i="7"/>
  <c r="AJ79" i="7"/>
  <c r="AL79" i="7"/>
  <c r="AK14" i="7"/>
  <c r="AH14" i="7"/>
  <c r="AM14" i="7" s="1"/>
  <c r="AJ14" i="7"/>
  <c r="AL14" i="7"/>
  <c r="AN14" i="7"/>
  <c r="AI16" i="7"/>
  <c r="I35" i="12"/>
  <c r="I34" i="12"/>
  <c r="I33" i="12"/>
  <c r="J31" i="12"/>
  <c r="K31" i="12"/>
  <c r="D31" i="12"/>
  <c r="H31" i="12"/>
  <c r="J32" i="12" s="1"/>
  <c r="AC81" i="7"/>
  <c r="Z81" i="7"/>
  <c r="AE81" i="7" s="1"/>
  <c r="AF81" i="7"/>
  <c r="AA83" i="7"/>
  <c r="AB81" i="7"/>
  <c r="AD81" i="7"/>
  <c r="O23" i="11"/>
  <c r="N22" i="11"/>
  <c r="L22" i="11"/>
  <c r="S22" i="11" s="1"/>
  <c r="P22" i="11"/>
  <c r="M22" i="11"/>
  <c r="Q23" i="11"/>
  <c r="R23" i="11"/>
  <c r="M23" i="11"/>
  <c r="Q21" i="11"/>
  <c r="P21" i="11" s="1"/>
  <c r="O21" i="11" s="1"/>
  <c r="N21" i="11" s="1"/>
  <c r="M21" i="11" s="1"/>
  <c r="L21" i="11" s="1"/>
  <c r="S21" i="11" s="1"/>
  <c r="Q22" i="11"/>
  <c r="P23" i="11"/>
  <c r="O22" i="11"/>
  <c r="L23" i="11"/>
  <c r="S23" i="11" s="1"/>
  <c r="R22" i="11"/>
  <c r="N23" i="11"/>
  <c r="AI19" i="11"/>
  <c r="AH19" i="11" s="1"/>
  <c r="AG19" i="11" s="1"/>
  <c r="AF19" i="11" s="1"/>
  <c r="AE19" i="11" s="1"/>
  <c r="AD19" i="11" s="1"/>
  <c r="AK19" i="11" s="1"/>
  <c r="AJ20" i="11"/>
  <c r="R22" i="14"/>
  <c r="T22" i="14"/>
  <c r="S22" i="14"/>
  <c r="P22" i="14"/>
  <c r="U22" i="14"/>
  <c r="Q24" i="14"/>
  <c r="K11" i="15"/>
  <c r="K13" i="15"/>
  <c r="K23" i="15"/>
  <c r="K8" i="15"/>
  <c r="K9" i="15"/>
  <c r="K24" i="15"/>
  <c r="K7" i="15"/>
  <c r="K20" i="15"/>
  <c r="K25" i="15"/>
  <c r="K22" i="15"/>
  <c r="K14" i="15"/>
  <c r="K16" i="15"/>
  <c r="K26" i="15"/>
  <c r="L6" i="15"/>
  <c r="K5" i="15"/>
  <c r="K15" i="15"/>
  <c r="K27" i="15"/>
  <c r="K10" i="15"/>
  <c r="K12" i="15"/>
  <c r="K17" i="15"/>
  <c r="K18" i="15"/>
  <c r="K19" i="15"/>
  <c r="K21" i="15"/>
  <c r="D22" i="14"/>
  <c r="F22" i="14"/>
  <c r="E22" i="14"/>
  <c r="B22" i="14"/>
  <c r="G22" i="14"/>
  <c r="C24" i="14"/>
  <c r="J14" i="10"/>
  <c r="Q12" i="10"/>
  <c r="S12" i="10" s="1"/>
  <c r="R12" i="10"/>
  <c r="T12" i="10" s="1"/>
  <c r="AA21" i="11"/>
  <c r="Z20" i="11"/>
  <c r="Y20" i="11" s="1"/>
  <c r="X20" i="11" s="1"/>
  <c r="W20" i="11" s="1"/>
  <c r="V20" i="11" s="1"/>
  <c r="U20" i="11" s="1"/>
  <c r="AB20" i="11" s="1"/>
  <c r="F16" i="10"/>
  <c r="G15" i="10"/>
  <c r="H15" i="10" s="1"/>
  <c r="I15" i="10" s="1"/>
  <c r="U15" i="10"/>
  <c r="V15" i="10" s="1"/>
  <c r="N13" i="10"/>
  <c r="O13" i="10" s="1"/>
  <c r="P13" i="10" s="1"/>
  <c r="K13" i="10"/>
  <c r="L13" i="10" s="1"/>
  <c r="M13" i="10" s="1"/>
  <c r="F28" i="11"/>
  <c r="R28" i="11"/>
  <c r="G28" i="11"/>
  <c r="E28" i="11"/>
  <c r="C25" i="11"/>
  <c r="C28" i="11"/>
  <c r="J28" i="11"/>
  <c r="D28" i="11"/>
  <c r="H28" i="11"/>
  <c r="I29" i="11"/>
  <c r="BD20" i="14" l="1"/>
  <c r="BB20" i="14"/>
  <c r="BC20" i="14"/>
  <c r="AZ22" i="14"/>
  <c r="AY20" i="14"/>
  <c r="BA20" i="14"/>
  <c r="B22" i="7"/>
  <c r="G22" i="7" s="1"/>
  <c r="D22" i="7"/>
  <c r="E22" i="7"/>
  <c r="H22" i="7"/>
  <c r="C24" i="7"/>
  <c r="F22" i="7"/>
  <c r="K24" i="14"/>
  <c r="M24" i="14"/>
  <c r="L24" i="14"/>
  <c r="I24" i="14"/>
  <c r="J26" i="14"/>
  <c r="N24" i="14"/>
  <c r="AL16" i="7"/>
  <c r="AK16" i="7"/>
  <c r="AJ16" i="7"/>
  <c r="AH16" i="7"/>
  <c r="AM16" i="7" s="1"/>
  <c r="AI18" i="7"/>
  <c r="AN16" i="7"/>
  <c r="AK81" i="7"/>
  <c r="AN81" i="7"/>
  <c r="AH81" i="7"/>
  <c r="AM81" i="7" s="1"/>
  <c r="AI83" i="7"/>
  <c r="AJ81" i="7"/>
  <c r="AL81" i="7"/>
  <c r="U20" i="7"/>
  <c r="V20" i="7"/>
  <c r="T20" i="7"/>
  <c r="R20" i="7"/>
  <c r="W20" i="7" s="1"/>
  <c r="S22" i="7"/>
  <c r="X20" i="7"/>
  <c r="B79" i="7"/>
  <c r="G79" i="7" s="1"/>
  <c r="E79" i="7"/>
  <c r="H79" i="7"/>
  <c r="C81" i="7"/>
  <c r="F79" i="7"/>
  <c r="D79" i="7"/>
  <c r="CB16" i="14"/>
  <c r="CA14" i="14"/>
  <c r="CD14" i="14"/>
  <c r="CF14" i="14"/>
  <c r="CC14" i="14"/>
  <c r="CE14" i="14"/>
  <c r="D33" i="12"/>
  <c r="D35" i="12"/>
  <c r="E31" i="12"/>
  <c r="D34" i="12"/>
  <c r="C31" i="12"/>
  <c r="E32" i="12" s="1"/>
  <c r="F31" i="12"/>
  <c r="S87" i="7"/>
  <c r="R85" i="7"/>
  <c r="W85" i="7" s="1"/>
  <c r="U85" i="7"/>
  <c r="X85" i="7"/>
  <c r="T85" i="7"/>
  <c r="V85" i="7"/>
  <c r="J22" i="7"/>
  <c r="O22" i="7" s="1"/>
  <c r="M22" i="7"/>
  <c r="P22" i="7"/>
  <c r="K24" i="7"/>
  <c r="N22" i="7"/>
  <c r="L22" i="7"/>
  <c r="AE20" i="14"/>
  <c r="AI18" i="14"/>
  <c r="AD18" i="14"/>
  <c r="AF18" i="14"/>
  <c r="AH18" i="14"/>
  <c r="AG18" i="14"/>
  <c r="AA85" i="7"/>
  <c r="AF83" i="7"/>
  <c r="AC83" i="7"/>
  <c r="Z83" i="7"/>
  <c r="AE83" i="7" s="1"/>
  <c r="AB83" i="7"/>
  <c r="AD83" i="7"/>
  <c r="AB20" i="14"/>
  <c r="Z20" i="14"/>
  <c r="Y20" i="14"/>
  <c r="AA20" i="14"/>
  <c r="X22" i="14"/>
  <c r="W20" i="14"/>
  <c r="AV79" i="7"/>
  <c r="AQ81" i="7"/>
  <c r="AS79" i="7"/>
  <c r="AP79" i="7"/>
  <c r="AU79" i="7" s="1"/>
  <c r="AR79" i="7"/>
  <c r="AT79" i="7"/>
  <c r="P89" i="7"/>
  <c r="M89" i="7"/>
  <c r="J89" i="7"/>
  <c r="O89" i="7" s="1"/>
  <c r="K91" i="7"/>
  <c r="L89" i="7"/>
  <c r="N89" i="7"/>
  <c r="AL18" i="14"/>
  <c r="AN16" i="14"/>
  <c r="AK16" i="14"/>
  <c r="AO16" i="14"/>
  <c r="AP16" i="14"/>
  <c r="AM16" i="14"/>
  <c r="BF20" i="14"/>
  <c r="BG22" i="14"/>
  <c r="BJ20" i="14"/>
  <c r="BI20" i="14"/>
  <c r="BK20" i="14"/>
  <c r="BH20" i="14"/>
  <c r="AR14" i="14"/>
  <c r="AS16" i="14"/>
  <c r="AU14" i="14"/>
  <c r="AT14" i="14"/>
  <c r="AV14" i="14"/>
  <c r="AW14" i="14"/>
  <c r="BX16" i="14"/>
  <c r="BW16" i="14"/>
  <c r="BU18" i="14"/>
  <c r="BV16" i="14"/>
  <c r="BY16" i="14"/>
  <c r="BT16" i="14"/>
  <c r="I41" i="12"/>
  <c r="J37" i="12"/>
  <c r="D37" i="12"/>
  <c r="H37" i="12"/>
  <c r="J38" i="12" s="1"/>
  <c r="K37" i="12"/>
  <c r="I40" i="12"/>
  <c r="I39" i="12"/>
  <c r="AQ16" i="7"/>
  <c r="AP14" i="7"/>
  <c r="AU14" i="7" s="1"/>
  <c r="AS14" i="7"/>
  <c r="AV14" i="7"/>
  <c r="AT14" i="7"/>
  <c r="AR14" i="7"/>
  <c r="BQ18" i="14"/>
  <c r="BN20" i="14"/>
  <c r="BP18" i="14"/>
  <c r="BM18" i="14"/>
  <c r="BR18" i="14"/>
  <c r="BO18" i="14"/>
  <c r="Z18" i="7"/>
  <c r="AE18" i="7" s="1"/>
  <c r="AC18" i="7"/>
  <c r="AA20" i="7"/>
  <c r="AF18" i="7"/>
  <c r="AB18" i="7"/>
  <c r="AD18" i="7"/>
  <c r="I30" i="11"/>
  <c r="H29" i="11"/>
  <c r="G29" i="11" s="1"/>
  <c r="F29" i="11" s="1"/>
  <c r="E29" i="11" s="1"/>
  <c r="D29" i="11" s="1"/>
  <c r="C29" i="11" s="1"/>
  <c r="J29" i="11" s="1"/>
  <c r="J15" i="10"/>
  <c r="AI20" i="11"/>
  <c r="AH20" i="11" s="1"/>
  <c r="AG20" i="11" s="1"/>
  <c r="AF20" i="11" s="1"/>
  <c r="AE20" i="11" s="1"/>
  <c r="AD20" i="11" s="1"/>
  <c r="AK20" i="11" s="1"/>
  <c r="AJ21" i="11"/>
  <c r="X22" i="11"/>
  <c r="U23" i="11"/>
  <c r="AB23" i="11" s="1"/>
  <c r="W22" i="11"/>
  <c r="V23" i="11"/>
  <c r="U22" i="11"/>
  <c r="AB22" i="11" s="1"/>
  <c r="Z23" i="11"/>
  <c r="Z22" i="11"/>
  <c r="Y22" i="11"/>
  <c r="AA23" i="11"/>
  <c r="V22" i="11"/>
  <c r="X23" i="11"/>
  <c r="Z21" i="11"/>
  <c r="Y21" i="11" s="1"/>
  <c r="X21" i="11" s="1"/>
  <c r="W21" i="11" s="1"/>
  <c r="V21" i="11" s="1"/>
  <c r="U21" i="11" s="1"/>
  <c r="AB21" i="11" s="1"/>
  <c r="W23" i="11"/>
  <c r="Y23" i="11"/>
  <c r="AA22" i="11"/>
  <c r="W12" i="10"/>
  <c r="Q28" i="11"/>
  <c r="M28" i="11"/>
  <c r="O28" i="11"/>
  <c r="N28" i="11"/>
  <c r="S28" i="11"/>
  <c r="P28" i="11"/>
  <c r="AA28" i="11"/>
  <c r="L25" i="11"/>
  <c r="L28" i="11"/>
  <c r="R29" i="11"/>
  <c r="G16" i="10"/>
  <c r="H16" i="10" s="1"/>
  <c r="I16" i="10" s="1"/>
  <c r="U16" i="10"/>
  <c r="V16" i="10" s="1"/>
  <c r="F17" i="10"/>
  <c r="K14" i="10"/>
  <c r="L14" i="10" s="1"/>
  <c r="M14" i="10" s="1"/>
  <c r="N14" i="10"/>
  <c r="O14" i="10" s="1"/>
  <c r="P14" i="10" s="1"/>
  <c r="G24" i="14"/>
  <c r="C26" i="14"/>
  <c r="E24" i="14"/>
  <c r="F24" i="14"/>
  <c r="B24" i="14"/>
  <c r="D24" i="14"/>
  <c r="Q13" i="10"/>
  <c r="S13" i="10" s="1"/>
  <c r="R13" i="10"/>
  <c r="T13" i="10" s="1"/>
  <c r="L5" i="15"/>
  <c r="L23" i="15"/>
  <c r="M6" i="15"/>
  <c r="L26" i="15"/>
  <c r="L18" i="15"/>
  <c r="L27" i="15"/>
  <c r="L22" i="15"/>
  <c r="L10" i="15"/>
  <c r="L11" i="15"/>
  <c r="L21" i="15"/>
  <c r="L7" i="15"/>
  <c r="L8" i="15"/>
  <c r="L16" i="15"/>
  <c r="L15" i="15"/>
  <c r="L24" i="15"/>
  <c r="L12" i="15"/>
  <c r="L20" i="15"/>
  <c r="L19" i="15"/>
  <c r="L14" i="15"/>
  <c r="L25" i="15"/>
  <c r="L17" i="15"/>
  <c r="L13" i="15"/>
  <c r="L9" i="15"/>
  <c r="Q26" i="14"/>
  <c r="T24" i="14"/>
  <c r="P24" i="14"/>
  <c r="U24" i="14"/>
  <c r="S24" i="14"/>
  <c r="R24" i="14"/>
  <c r="BB22" i="14" l="1"/>
  <c r="BA22" i="14"/>
  <c r="BD22" i="14"/>
  <c r="AZ24" i="14"/>
  <c r="BC22" i="14"/>
  <c r="AY22" i="14"/>
  <c r="H24" i="7"/>
  <c r="E24" i="7"/>
  <c r="C26" i="7"/>
  <c r="F24" i="7"/>
  <c r="D24" i="7"/>
  <c r="B24" i="7"/>
  <c r="G24" i="7" s="1"/>
  <c r="I26" i="14"/>
  <c r="N26" i="14"/>
  <c r="M26" i="14"/>
  <c r="L26" i="14"/>
  <c r="J28" i="14"/>
  <c r="K26" i="14"/>
  <c r="AE22" i="14"/>
  <c r="AG20" i="14"/>
  <c r="AI20" i="14"/>
  <c r="AF20" i="14"/>
  <c r="AH20" i="14"/>
  <c r="AD20" i="14"/>
  <c r="AA22" i="14"/>
  <c r="Z22" i="14"/>
  <c r="X24" i="14"/>
  <c r="Y22" i="14"/>
  <c r="W22" i="14"/>
  <c r="AB22" i="14"/>
  <c r="AP16" i="7"/>
  <c r="AU16" i="7" s="1"/>
  <c r="AS16" i="7"/>
  <c r="AQ18" i="7"/>
  <c r="AV16" i="7"/>
  <c r="AR16" i="7"/>
  <c r="AT16" i="7"/>
  <c r="C83" i="7"/>
  <c r="F81" i="7"/>
  <c r="H81" i="7"/>
  <c r="E81" i="7"/>
  <c r="B81" i="7"/>
  <c r="G81" i="7" s="1"/>
  <c r="D81" i="7"/>
  <c r="AN18" i="7"/>
  <c r="AL18" i="7"/>
  <c r="AJ18" i="7"/>
  <c r="AK18" i="7"/>
  <c r="AH18" i="7"/>
  <c r="AM18" i="7" s="1"/>
  <c r="AI20" i="7"/>
  <c r="R87" i="7"/>
  <c r="W87" i="7" s="1"/>
  <c r="S89" i="7"/>
  <c r="U87" i="7"/>
  <c r="X87" i="7"/>
  <c r="T87" i="7"/>
  <c r="V87" i="7"/>
  <c r="AS18" i="14"/>
  <c r="AV16" i="14"/>
  <c r="AR16" i="14"/>
  <c r="AU16" i="14"/>
  <c r="AT16" i="14"/>
  <c r="AW16" i="14"/>
  <c r="J91" i="7"/>
  <c r="O91" i="7" s="1"/>
  <c r="K93" i="7"/>
  <c r="P91" i="7"/>
  <c r="M91" i="7"/>
  <c r="N91" i="7"/>
  <c r="L91" i="7"/>
  <c r="AV81" i="7"/>
  <c r="AP81" i="7"/>
  <c r="AU81" i="7" s="1"/>
  <c r="AQ83" i="7"/>
  <c r="AS81" i="7"/>
  <c r="AR81" i="7"/>
  <c r="AT81" i="7"/>
  <c r="BN22" i="14"/>
  <c r="BP20" i="14"/>
  <c r="BM20" i="14"/>
  <c r="BR20" i="14"/>
  <c r="BQ20" i="14"/>
  <c r="BO20" i="14"/>
  <c r="AF85" i="7"/>
  <c r="Z85" i="7"/>
  <c r="AE85" i="7" s="1"/>
  <c r="AC85" i="7"/>
  <c r="AA87" i="7"/>
  <c r="AB85" i="7"/>
  <c r="AD85" i="7"/>
  <c r="BX18" i="14"/>
  <c r="BU20" i="14"/>
  <c r="BV18" i="14"/>
  <c r="BW18" i="14"/>
  <c r="BT18" i="14"/>
  <c r="BY18" i="14"/>
  <c r="AI85" i="7"/>
  <c r="AN83" i="7"/>
  <c r="AH83" i="7"/>
  <c r="AM83" i="7" s="1"/>
  <c r="AK83" i="7"/>
  <c r="AL83" i="7"/>
  <c r="AJ83" i="7"/>
  <c r="AN18" i="14"/>
  <c r="AP18" i="14"/>
  <c r="AL20" i="14"/>
  <c r="AK18" i="14"/>
  <c r="AO18" i="14"/>
  <c r="AM18" i="14"/>
  <c r="AC20" i="7"/>
  <c r="AF20" i="7"/>
  <c r="Z20" i="7"/>
  <c r="AE20" i="7" s="1"/>
  <c r="AA22" i="7"/>
  <c r="AD20" i="7"/>
  <c r="AB20" i="7"/>
  <c r="BK22" i="14"/>
  <c r="BJ22" i="14"/>
  <c r="BF22" i="14"/>
  <c r="BI22" i="14"/>
  <c r="BG24" i="14"/>
  <c r="BH22" i="14"/>
  <c r="M24" i="7"/>
  <c r="K26" i="7"/>
  <c r="J24" i="7"/>
  <c r="O24" i="7" s="1"/>
  <c r="P24" i="7"/>
  <c r="N24" i="7"/>
  <c r="L24" i="7"/>
  <c r="E37" i="12"/>
  <c r="C37" i="12"/>
  <c r="D39" i="12"/>
  <c r="D40" i="12"/>
  <c r="E38" i="12"/>
  <c r="F37" i="12"/>
  <c r="D41" i="12"/>
  <c r="CA16" i="14"/>
  <c r="CC16" i="14"/>
  <c r="CD16" i="14"/>
  <c r="CE16" i="14"/>
  <c r="CB18" i="14"/>
  <c r="CF16" i="14"/>
  <c r="S24" i="7"/>
  <c r="T22" i="7"/>
  <c r="X22" i="7"/>
  <c r="V22" i="7"/>
  <c r="U22" i="7"/>
  <c r="R22" i="7"/>
  <c r="W22" i="7" s="1"/>
  <c r="W13" i="10"/>
  <c r="K15" i="10"/>
  <c r="L15" i="10" s="1"/>
  <c r="M15" i="10" s="1"/>
  <c r="N15" i="10"/>
  <c r="O15" i="10" s="1"/>
  <c r="P15" i="10" s="1"/>
  <c r="AD22" i="11"/>
  <c r="AK22" i="11" s="1"/>
  <c r="AI21" i="11"/>
  <c r="AH21" i="11" s="1"/>
  <c r="AG21" i="11" s="1"/>
  <c r="AF21" i="11" s="1"/>
  <c r="AE21" i="11" s="1"/>
  <c r="AD21" i="11" s="1"/>
  <c r="AK21" i="11" s="1"/>
  <c r="AG23" i="11"/>
  <c r="AG22" i="11"/>
  <c r="AF22" i="11"/>
  <c r="AH23" i="11"/>
  <c r="AE22" i="11"/>
  <c r="AH22" i="11"/>
  <c r="AI22" i="11"/>
  <c r="AJ22" i="11"/>
  <c r="AI23" i="11"/>
  <c r="AD23" i="11"/>
  <c r="AK23" i="11" s="1"/>
  <c r="AE23" i="11"/>
  <c r="AJ23" i="11"/>
  <c r="AF23" i="11"/>
  <c r="M14" i="15"/>
  <c r="M10" i="15"/>
  <c r="M13" i="15"/>
  <c r="M20" i="15"/>
  <c r="M12" i="15"/>
  <c r="M19" i="15"/>
  <c r="M8" i="15"/>
  <c r="M27" i="15"/>
  <c r="M15" i="15"/>
  <c r="M16" i="15"/>
  <c r="N6" i="15"/>
  <c r="M9" i="15"/>
  <c r="M24" i="15"/>
  <c r="M21" i="15"/>
  <c r="M17" i="15"/>
  <c r="M22" i="15"/>
  <c r="M5" i="15"/>
  <c r="M23" i="15"/>
  <c r="M25" i="15"/>
  <c r="M26" i="15"/>
  <c r="M7" i="15"/>
  <c r="M18" i="15"/>
  <c r="M11" i="15"/>
  <c r="R14" i="10"/>
  <c r="T14" i="10" s="1"/>
  <c r="Q14" i="10"/>
  <c r="S14" i="10" s="1"/>
  <c r="G17" i="10"/>
  <c r="H17" i="10" s="1"/>
  <c r="I17" i="10" s="1"/>
  <c r="U17" i="10"/>
  <c r="V17" i="10" s="1"/>
  <c r="F18" i="10"/>
  <c r="H30" i="11"/>
  <c r="G30" i="11" s="1"/>
  <c r="F30" i="11" s="1"/>
  <c r="E30" i="11" s="1"/>
  <c r="D30" i="11" s="1"/>
  <c r="C30" i="11" s="1"/>
  <c r="J30" i="11" s="1"/>
  <c r="I31" i="11"/>
  <c r="AA29" i="11"/>
  <c r="Z28" i="11"/>
  <c r="U25" i="11"/>
  <c r="AJ28" i="11"/>
  <c r="AB28" i="11"/>
  <c r="W28" i="11"/>
  <c r="V28" i="11"/>
  <c r="Y28" i="11"/>
  <c r="U28" i="11"/>
  <c r="X28" i="11"/>
  <c r="Q29" i="11"/>
  <c r="P29" i="11" s="1"/>
  <c r="O29" i="11" s="1"/>
  <c r="N29" i="11" s="1"/>
  <c r="M29" i="11" s="1"/>
  <c r="L29" i="11" s="1"/>
  <c r="S29" i="11" s="1"/>
  <c r="R30" i="11"/>
  <c r="D26" i="14"/>
  <c r="C28" i="14"/>
  <c r="G26" i="14"/>
  <c r="B26" i="14"/>
  <c r="F26" i="14"/>
  <c r="E26" i="14"/>
  <c r="J16" i="10"/>
  <c r="Q28" i="14"/>
  <c r="R26" i="14"/>
  <c r="T26" i="14"/>
  <c r="P26" i="14"/>
  <c r="U26" i="14"/>
  <c r="S26" i="14"/>
  <c r="BB24" i="14" l="1"/>
  <c r="BD24" i="14"/>
  <c r="AZ26" i="14"/>
  <c r="BC24" i="14"/>
  <c r="AY24" i="14"/>
  <c r="BA24" i="14"/>
  <c r="B26" i="7"/>
  <c r="G26" i="7" s="1"/>
  <c r="D26" i="7"/>
  <c r="F26" i="7"/>
  <c r="E26" i="7"/>
  <c r="H26" i="7"/>
  <c r="C28" i="7"/>
  <c r="M28" i="14"/>
  <c r="N28" i="14"/>
  <c r="J30" i="14"/>
  <c r="L28" i="14"/>
  <c r="I28" i="14"/>
  <c r="K28" i="14"/>
  <c r="CA18" i="14"/>
  <c r="CD18" i="14"/>
  <c r="CF18" i="14"/>
  <c r="CE18" i="14"/>
  <c r="CC18" i="14"/>
  <c r="CB20" i="14"/>
  <c r="Y24" i="14"/>
  <c r="AB24" i="14"/>
  <c r="AA24" i="14"/>
  <c r="Z24" i="14"/>
  <c r="W24" i="14"/>
  <c r="X26" i="14"/>
  <c r="AA24" i="7"/>
  <c r="AF22" i="7"/>
  <c r="Z22" i="7"/>
  <c r="AE22" i="7" s="1"/>
  <c r="AC22" i="7"/>
  <c r="AD22" i="7"/>
  <c r="AB22" i="7"/>
  <c r="Z87" i="7"/>
  <c r="AE87" i="7" s="1"/>
  <c r="AF87" i="7"/>
  <c r="AA89" i="7"/>
  <c r="AC87" i="7"/>
  <c r="AD87" i="7"/>
  <c r="AB87" i="7"/>
  <c r="S91" i="7"/>
  <c r="X89" i="7"/>
  <c r="R89" i="7"/>
  <c r="W89" i="7" s="1"/>
  <c r="U89" i="7"/>
  <c r="V89" i="7"/>
  <c r="T89" i="7"/>
  <c r="AP20" i="14"/>
  <c r="AO20" i="14"/>
  <c r="AL22" i="14"/>
  <c r="AM20" i="14"/>
  <c r="AK20" i="14"/>
  <c r="AN20" i="14"/>
  <c r="AI87" i="7"/>
  <c r="AH85" i="7"/>
  <c r="AM85" i="7" s="1"/>
  <c r="AN85" i="7"/>
  <c r="AK85" i="7"/>
  <c r="AL85" i="7"/>
  <c r="AJ85" i="7"/>
  <c r="W14" i="10"/>
  <c r="BF24" i="14"/>
  <c r="BK24" i="14"/>
  <c r="BI24" i="14"/>
  <c r="BJ24" i="14"/>
  <c r="BG26" i="14"/>
  <c r="BH24" i="14"/>
  <c r="BP22" i="14"/>
  <c r="BN24" i="14"/>
  <c r="BQ22" i="14"/>
  <c r="BM22" i="14"/>
  <c r="BR22" i="14"/>
  <c r="BO22" i="14"/>
  <c r="AV18" i="7"/>
  <c r="AP18" i="7"/>
  <c r="AU18" i="7" s="1"/>
  <c r="AS18" i="7"/>
  <c r="AQ20" i="7"/>
  <c r="AR18" i="7"/>
  <c r="AT18" i="7"/>
  <c r="AH20" i="7"/>
  <c r="AM20" i="7" s="1"/>
  <c r="AK20" i="7"/>
  <c r="AJ20" i="7"/>
  <c r="AN20" i="7"/>
  <c r="AL20" i="7"/>
  <c r="AI22" i="7"/>
  <c r="M26" i="7"/>
  <c r="P26" i="7"/>
  <c r="K28" i="7"/>
  <c r="J26" i="7"/>
  <c r="O26" i="7" s="1"/>
  <c r="N26" i="7"/>
  <c r="L26" i="7"/>
  <c r="AS20" i="14"/>
  <c r="AT18" i="14"/>
  <c r="AU18" i="14"/>
  <c r="AV18" i="14"/>
  <c r="AR18" i="14"/>
  <c r="AW18" i="14"/>
  <c r="X24" i="7"/>
  <c r="T24" i="7"/>
  <c r="S26" i="7"/>
  <c r="R24" i="7"/>
  <c r="W24" i="7" s="1"/>
  <c r="V24" i="7"/>
  <c r="U24" i="7"/>
  <c r="P93" i="7"/>
  <c r="K95" i="7"/>
  <c r="J93" i="7"/>
  <c r="O93" i="7" s="1"/>
  <c r="M93" i="7"/>
  <c r="N93" i="7"/>
  <c r="L93" i="7"/>
  <c r="BY20" i="14"/>
  <c r="BV20" i="14"/>
  <c r="BU22" i="14"/>
  <c r="BX20" i="14"/>
  <c r="BW20" i="14"/>
  <c r="BT20" i="14"/>
  <c r="AP83" i="7"/>
  <c r="AU83" i="7" s="1"/>
  <c r="AQ85" i="7"/>
  <c r="AS83" i="7"/>
  <c r="AV83" i="7"/>
  <c r="AR83" i="7"/>
  <c r="AT83" i="7"/>
  <c r="B83" i="7"/>
  <c r="G83" i="7" s="1"/>
  <c r="F83" i="7"/>
  <c r="C85" i="7"/>
  <c r="H83" i="7"/>
  <c r="E83" i="7"/>
  <c r="D83" i="7"/>
  <c r="AI22" i="14"/>
  <c r="AD22" i="14"/>
  <c r="AH22" i="14"/>
  <c r="AG22" i="14"/>
  <c r="AE24" i="14"/>
  <c r="AF22" i="14"/>
  <c r="AJ29" i="11"/>
  <c r="AD25" i="11"/>
  <c r="AH28" i="11"/>
  <c r="AK28" i="11"/>
  <c r="AE28" i="11"/>
  <c r="AD28" i="11"/>
  <c r="AI28" i="11"/>
  <c r="AG28" i="11"/>
  <c r="AF28" i="11"/>
  <c r="D28" i="14"/>
  <c r="C30" i="14"/>
  <c r="B28" i="14"/>
  <c r="G28" i="14"/>
  <c r="F28" i="14"/>
  <c r="E28" i="14"/>
  <c r="G33" i="11"/>
  <c r="F32" i="11"/>
  <c r="H32" i="11"/>
  <c r="E32" i="11"/>
  <c r="C33" i="11"/>
  <c r="J33" i="11" s="1"/>
  <c r="G32" i="11"/>
  <c r="D32" i="11"/>
  <c r="H33" i="11"/>
  <c r="H31" i="11"/>
  <c r="G31" i="11" s="1"/>
  <c r="F31" i="11" s="1"/>
  <c r="E31" i="11" s="1"/>
  <c r="D31" i="11" s="1"/>
  <c r="C31" i="11" s="1"/>
  <c r="J31" i="11" s="1"/>
  <c r="F33" i="11"/>
  <c r="E33" i="11"/>
  <c r="D33" i="11"/>
  <c r="I32" i="11"/>
  <c r="I33" i="11"/>
  <c r="C32" i="11"/>
  <c r="J32" i="11" s="1"/>
  <c r="Q30" i="14"/>
  <c r="P28" i="14"/>
  <c r="U28" i="14"/>
  <c r="S28" i="14"/>
  <c r="T28" i="14"/>
  <c r="R28" i="14"/>
  <c r="J17" i="10"/>
  <c r="R15" i="10"/>
  <c r="T15" i="10" s="1"/>
  <c r="Q15" i="10"/>
  <c r="S15" i="10" s="1"/>
  <c r="W15" i="10" s="1"/>
  <c r="Z29" i="11"/>
  <c r="Y29" i="11" s="1"/>
  <c r="X29" i="11" s="1"/>
  <c r="W29" i="11" s="1"/>
  <c r="V29" i="11" s="1"/>
  <c r="U29" i="11" s="1"/>
  <c r="AB29" i="11" s="1"/>
  <c r="AA30" i="11"/>
  <c r="N16" i="10"/>
  <c r="O16" i="10" s="1"/>
  <c r="P16" i="10" s="1"/>
  <c r="K16" i="10"/>
  <c r="L16" i="10" s="1"/>
  <c r="M16" i="10" s="1"/>
  <c r="R31" i="11"/>
  <c r="Q30" i="11"/>
  <c r="P30" i="11" s="1"/>
  <c r="O30" i="11" s="1"/>
  <c r="N30" i="11" s="1"/>
  <c r="M30" i="11" s="1"/>
  <c r="L30" i="11" s="1"/>
  <c r="S30" i="11" s="1"/>
  <c r="U18" i="10"/>
  <c r="V18" i="10" s="1"/>
  <c r="F19" i="10"/>
  <c r="G18" i="10"/>
  <c r="H18" i="10" s="1"/>
  <c r="I18" i="10" s="1"/>
  <c r="N26" i="15"/>
  <c r="N18" i="15"/>
  <c r="N16" i="15"/>
  <c r="N25" i="15"/>
  <c r="N19" i="15"/>
  <c r="N11" i="15"/>
  <c r="N24" i="15"/>
  <c r="N10" i="15"/>
  <c r="N21" i="15"/>
  <c r="N14" i="15"/>
  <c r="N7" i="15"/>
  <c r="N15" i="15"/>
  <c r="N12" i="15"/>
  <c r="O6" i="15"/>
  <c r="N9" i="15"/>
  <c r="N27" i="15"/>
  <c r="N20" i="15"/>
  <c r="N22" i="15"/>
  <c r="N17" i="15"/>
  <c r="N13" i="15"/>
  <c r="N5" i="15"/>
  <c r="N23" i="15"/>
  <c r="N8" i="15"/>
  <c r="BB26" i="14" l="1"/>
  <c r="AY26" i="14"/>
  <c r="BA26" i="14"/>
  <c r="BC26" i="14"/>
  <c r="BD26" i="14"/>
  <c r="AZ28" i="14"/>
  <c r="E28" i="7"/>
  <c r="H28" i="7"/>
  <c r="C30" i="7"/>
  <c r="B28" i="7"/>
  <c r="G28" i="7" s="1"/>
  <c r="D28" i="7"/>
  <c r="F28" i="7"/>
  <c r="L30" i="14"/>
  <c r="K30" i="14"/>
  <c r="N30" i="14"/>
  <c r="J32" i="14"/>
  <c r="I30" i="14"/>
  <c r="M30" i="14"/>
  <c r="M28" i="7"/>
  <c r="K30" i="7"/>
  <c r="J28" i="7"/>
  <c r="O28" i="7" s="1"/>
  <c r="P28" i="7"/>
  <c r="N28" i="7"/>
  <c r="L28" i="7"/>
  <c r="CC20" i="14"/>
  <c r="CD20" i="14"/>
  <c r="CE20" i="14"/>
  <c r="CF20" i="14"/>
  <c r="CA20" i="14"/>
  <c r="CB22" i="14"/>
  <c r="AK87" i="7"/>
  <c r="AI89" i="7"/>
  <c r="AN87" i="7"/>
  <c r="AH87" i="7"/>
  <c r="AM87" i="7" s="1"/>
  <c r="AL87" i="7"/>
  <c r="AJ87" i="7"/>
  <c r="AC89" i="7"/>
  <c r="AA91" i="7"/>
  <c r="Z89" i="7"/>
  <c r="AE89" i="7" s="1"/>
  <c r="AF89" i="7"/>
  <c r="AB89" i="7"/>
  <c r="AD89" i="7"/>
  <c r="AC24" i="7"/>
  <c r="AF24" i="7"/>
  <c r="Z24" i="7"/>
  <c r="AE24" i="7" s="1"/>
  <c r="AA26" i="7"/>
  <c r="AD24" i="7"/>
  <c r="AB24" i="7"/>
  <c r="AH24" i="14"/>
  <c r="AD24" i="14"/>
  <c r="AF24" i="14"/>
  <c r="AE26" i="14"/>
  <c r="AG24" i="14"/>
  <c r="AI24" i="14"/>
  <c r="B85" i="7"/>
  <c r="G85" i="7" s="1"/>
  <c r="E85" i="7"/>
  <c r="H85" i="7"/>
  <c r="C87" i="7"/>
  <c r="D85" i="7"/>
  <c r="F85" i="7"/>
  <c r="BK26" i="14"/>
  <c r="BG28" i="14"/>
  <c r="BI26" i="14"/>
  <c r="BF26" i="14"/>
  <c r="BJ26" i="14"/>
  <c r="BH26" i="14"/>
  <c r="P95" i="7"/>
  <c r="K97" i="7"/>
  <c r="M95" i="7"/>
  <c r="J95" i="7"/>
  <c r="O95" i="7" s="1"/>
  <c r="N95" i="7"/>
  <c r="L95" i="7"/>
  <c r="BY22" i="14"/>
  <c r="BT22" i="14"/>
  <c r="BX22" i="14"/>
  <c r="BW22" i="14"/>
  <c r="BV22" i="14"/>
  <c r="BU24" i="14"/>
  <c r="W26" i="14"/>
  <c r="Y26" i="14"/>
  <c r="Z26" i="14"/>
  <c r="AA26" i="14"/>
  <c r="X28" i="14"/>
  <c r="AB26" i="14"/>
  <c r="AH22" i="7"/>
  <c r="AM22" i="7" s="1"/>
  <c r="AK22" i="7"/>
  <c r="AL22" i="7"/>
  <c r="AI24" i="7"/>
  <c r="AJ22" i="7"/>
  <c r="AN22" i="7"/>
  <c r="AS20" i="7"/>
  <c r="AT20" i="7"/>
  <c r="AP20" i="7"/>
  <c r="AU20" i="7" s="1"/>
  <c r="AQ22" i="7"/>
  <c r="AV20" i="7"/>
  <c r="AR20" i="7"/>
  <c r="BP24" i="14"/>
  <c r="BQ24" i="14"/>
  <c r="BR24" i="14"/>
  <c r="BM24" i="14"/>
  <c r="BN26" i="14"/>
  <c r="BO24" i="14"/>
  <c r="S28" i="7"/>
  <c r="V26" i="7"/>
  <c r="R26" i="7"/>
  <c r="W26" i="7" s="1"/>
  <c r="X26" i="7"/>
  <c r="T26" i="7"/>
  <c r="U26" i="7"/>
  <c r="AW20" i="14"/>
  <c r="AU20" i="14"/>
  <c r="AV20" i="14"/>
  <c r="AR20" i="14"/>
  <c r="AT20" i="14"/>
  <c r="AS22" i="14"/>
  <c r="AS85" i="7"/>
  <c r="AQ87" i="7"/>
  <c r="AP85" i="7"/>
  <c r="AU85" i="7" s="1"/>
  <c r="AV85" i="7"/>
  <c r="AT85" i="7"/>
  <c r="AR85" i="7"/>
  <c r="AP22" i="14"/>
  <c r="AM22" i="14"/>
  <c r="AK22" i="14"/>
  <c r="AL24" i="14"/>
  <c r="AO22" i="14"/>
  <c r="AN22" i="14"/>
  <c r="X91" i="7"/>
  <c r="S93" i="7"/>
  <c r="U91" i="7"/>
  <c r="R91" i="7"/>
  <c r="W91" i="7" s="1"/>
  <c r="T91" i="7"/>
  <c r="V91" i="7"/>
  <c r="Z30" i="11"/>
  <c r="Y30" i="11" s="1"/>
  <c r="X30" i="11" s="1"/>
  <c r="W30" i="11" s="1"/>
  <c r="V30" i="11" s="1"/>
  <c r="U30" i="11" s="1"/>
  <c r="AB30" i="11" s="1"/>
  <c r="AA31" i="11"/>
  <c r="J18" i="10"/>
  <c r="AI29" i="11"/>
  <c r="AH29" i="11" s="1"/>
  <c r="AG29" i="11" s="1"/>
  <c r="AF29" i="11" s="1"/>
  <c r="AE29" i="11" s="1"/>
  <c r="AD29" i="11" s="1"/>
  <c r="AK29" i="11" s="1"/>
  <c r="AJ30" i="11"/>
  <c r="U19" i="10"/>
  <c r="V19" i="10" s="1"/>
  <c r="G19" i="10"/>
  <c r="H19" i="10" s="1"/>
  <c r="I19" i="10" s="1"/>
  <c r="F20" i="10"/>
  <c r="R16" i="10"/>
  <c r="T16" i="10" s="1"/>
  <c r="Q16" i="10"/>
  <c r="S16" i="10" s="1"/>
  <c r="O5" i="15"/>
  <c r="O23" i="15"/>
  <c r="O9" i="15"/>
  <c r="O27" i="15"/>
  <c r="O12" i="15"/>
  <c r="O26" i="15"/>
  <c r="O10" i="15"/>
  <c r="O14" i="15"/>
  <c r="O7" i="15"/>
  <c r="P6" i="15"/>
  <c r="O16" i="15"/>
  <c r="O17" i="15"/>
  <c r="O15" i="15"/>
  <c r="O21" i="15"/>
  <c r="O25" i="15"/>
  <c r="O19" i="15"/>
  <c r="O11" i="15"/>
  <c r="O8" i="15"/>
  <c r="O13" i="15"/>
  <c r="O18" i="15"/>
  <c r="O22" i="15"/>
  <c r="O24" i="15"/>
  <c r="O20" i="15"/>
  <c r="P30" i="14"/>
  <c r="R30" i="14"/>
  <c r="S30" i="14"/>
  <c r="U30" i="14"/>
  <c r="T30" i="14"/>
  <c r="Q32" i="14"/>
  <c r="E30" i="14"/>
  <c r="D30" i="14"/>
  <c r="B30" i="14"/>
  <c r="G30" i="14"/>
  <c r="F30" i="14"/>
  <c r="C32" i="14"/>
  <c r="N17" i="10"/>
  <c r="O17" i="10" s="1"/>
  <c r="P17" i="10" s="1"/>
  <c r="K17" i="10"/>
  <c r="L17" i="10" s="1"/>
  <c r="M17" i="10" s="1"/>
  <c r="N33" i="11"/>
  <c r="L32" i="11"/>
  <c r="S32" i="11" s="1"/>
  <c r="N32" i="11"/>
  <c r="L33" i="11"/>
  <c r="S33" i="11" s="1"/>
  <c r="P33" i="11"/>
  <c r="R33" i="11"/>
  <c r="M33" i="11"/>
  <c r="R32" i="11"/>
  <c r="Q32" i="11"/>
  <c r="P32" i="11"/>
  <c r="O33" i="11"/>
  <c r="M32" i="11"/>
  <c r="O32" i="11"/>
  <c r="Q33" i="11"/>
  <c r="Q31" i="11"/>
  <c r="P31" i="11" s="1"/>
  <c r="O31" i="11" s="1"/>
  <c r="N31" i="11" s="1"/>
  <c r="M31" i="11" s="1"/>
  <c r="L31" i="11" s="1"/>
  <c r="S31" i="11" s="1"/>
  <c r="W16" i="10" l="1"/>
  <c r="BC28" i="14"/>
  <c r="BA28" i="14"/>
  <c r="AY28" i="14"/>
  <c r="BB28" i="14"/>
  <c r="AZ30" i="14"/>
  <c r="BD28" i="14"/>
  <c r="B30" i="7"/>
  <c r="G30" i="7" s="1"/>
  <c r="C32" i="7"/>
  <c r="F30" i="7"/>
  <c r="D30" i="7"/>
  <c r="H30" i="7"/>
  <c r="E30" i="7"/>
  <c r="L32" i="14"/>
  <c r="K32" i="14"/>
  <c r="M32" i="14"/>
  <c r="J34" i="14"/>
  <c r="N32" i="14"/>
  <c r="I32" i="14"/>
  <c r="AP24" i="14"/>
  <c r="AN24" i="14"/>
  <c r="AM24" i="14"/>
  <c r="AK24" i="14"/>
  <c r="AL26" i="14"/>
  <c r="AO24" i="14"/>
  <c r="AQ89" i="7"/>
  <c r="AS87" i="7"/>
  <c r="AP87" i="7"/>
  <c r="AU87" i="7" s="1"/>
  <c r="AV87" i="7"/>
  <c r="AT87" i="7"/>
  <c r="AR87" i="7"/>
  <c r="J97" i="7"/>
  <c r="O97" i="7" s="1"/>
  <c r="L97" i="7"/>
  <c r="M97" i="7"/>
  <c r="P97" i="7"/>
  <c r="N97" i="7"/>
  <c r="K99" i="7"/>
  <c r="AE28" i="14"/>
  <c r="AD26" i="14"/>
  <c r="AF26" i="14"/>
  <c r="AI26" i="14"/>
  <c r="AG26" i="14"/>
  <c r="AH26" i="14"/>
  <c r="J30" i="7"/>
  <c r="O30" i="7" s="1"/>
  <c r="K32" i="7"/>
  <c r="P30" i="7"/>
  <c r="M30" i="7"/>
  <c r="N30" i="7"/>
  <c r="L30" i="7"/>
  <c r="X30" i="14"/>
  <c r="Y28" i="14"/>
  <c r="Z28" i="14"/>
  <c r="AA28" i="14"/>
  <c r="W28" i="14"/>
  <c r="AB28" i="14"/>
  <c r="AS24" i="14"/>
  <c r="AV22" i="14"/>
  <c r="AU22" i="14"/>
  <c r="AT22" i="14"/>
  <c r="AW22" i="14"/>
  <c r="AR22" i="14"/>
  <c r="D87" i="7"/>
  <c r="C89" i="7"/>
  <c r="B87" i="7"/>
  <c r="G87" i="7" s="1"/>
  <c r="E87" i="7"/>
  <c r="F87" i="7"/>
  <c r="H87" i="7"/>
  <c r="BR26" i="14"/>
  <c r="BP26" i="14"/>
  <c r="BM26" i="14"/>
  <c r="BN28" i="14"/>
  <c r="BQ26" i="14"/>
  <c r="BO26" i="14"/>
  <c r="X93" i="7"/>
  <c r="S95" i="7"/>
  <c r="U93" i="7"/>
  <c r="R93" i="7"/>
  <c r="W93" i="7" s="1"/>
  <c r="V93" i="7"/>
  <c r="T93" i="7"/>
  <c r="AI26" i="7"/>
  <c r="AH24" i="7"/>
  <c r="AM24" i="7" s="1"/>
  <c r="AN24" i="7"/>
  <c r="AL24" i="7"/>
  <c r="AJ24" i="7"/>
  <c r="AK24" i="7"/>
  <c r="AH89" i="7"/>
  <c r="AM89" i="7" s="1"/>
  <c r="AN89" i="7"/>
  <c r="AI91" i="7"/>
  <c r="AK89" i="7"/>
  <c r="AJ89" i="7"/>
  <c r="AL89" i="7"/>
  <c r="S30" i="7"/>
  <c r="X28" i="7"/>
  <c r="T28" i="7"/>
  <c r="U28" i="7"/>
  <c r="R28" i="7"/>
  <c r="W28" i="7" s="1"/>
  <c r="V28" i="7"/>
  <c r="AR22" i="7"/>
  <c r="AT22" i="7"/>
  <c r="AS22" i="7"/>
  <c r="AV22" i="7"/>
  <c r="AP22" i="7"/>
  <c r="AU22" i="7" s="1"/>
  <c r="AQ24" i="7"/>
  <c r="BY24" i="14"/>
  <c r="BX24" i="14"/>
  <c r="BU26" i="14"/>
  <c r="BV24" i="14"/>
  <c r="BW24" i="14"/>
  <c r="BT24" i="14"/>
  <c r="BF28" i="14"/>
  <c r="BK28" i="14"/>
  <c r="BJ28" i="14"/>
  <c r="BH28" i="14"/>
  <c r="BI28" i="14"/>
  <c r="BG30" i="14"/>
  <c r="AF26" i="7"/>
  <c r="AD26" i="7"/>
  <c r="AA28" i="7"/>
  <c r="AC26" i="7"/>
  <c r="AB26" i="7"/>
  <c r="Z26" i="7"/>
  <c r="AE26" i="7" s="1"/>
  <c r="AC91" i="7"/>
  <c r="AA93" i="7"/>
  <c r="AF91" i="7"/>
  <c r="Z91" i="7"/>
  <c r="AE91" i="7" s="1"/>
  <c r="AB91" i="7"/>
  <c r="AD91" i="7"/>
  <c r="CE22" i="14"/>
  <c r="CB24" i="14"/>
  <c r="CD22" i="14"/>
  <c r="CC22" i="14"/>
  <c r="CF22" i="14"/>
  <c r="CA22" i="14"/>
  <c r="N18" i="10"/>
  <c r="O18" i="10" s="1"/>
  <c r="P18" i="10" s="1"/>
  <c r="K18" i="10"/>
  <c r="L18" i="10" s="1"/>
  <c r="M18" i="10" s="1"/>
  <c r="F32" i="14"/>
  <c r="E32" i="14"/>
  <c r="D32" i="14"/>
  <c r="C34" i="14"/>
  <c r="B32" i="14"/>
  <c r="G32" i="14"/>
  <c r="Z31" i="11"/>
  <c r="Y31" i="11" s="1"/>
  <c r="X31" i="11" s="1"/>
  <c r="W31" i="11" s="1"/>
  <c r="V31" i="11" s="1"/>
  <c r="U31" i="11" s="1"/>
  <c r="AB31" i="11" s="1"/>
  <c r="V33" i="11"/>
  <c r="Y33" i="11"/>
  <c r="Z32" i="11"/>
  <c r="U32" i="11"/>
  <c r="AB32" i="11" s="1"/>
  <c r="X33" i="11"/>
  <c r="AA33" i="11"/>
  <c r="Z33" i="11"/>
  <c r="X32" i="11"/>
  <c r="Y32" i="11"/>
  <c r="U33" i="11"/>
  <c r="AB33" i="11" s="1"/>
  <c r="V32" i="11"/>
  <c r="W32" i="11"/>
  <c r="W33" i="11"/>
  <c r="AA32" i="11"/>
  <c r="R17" i="10"/>
  <c r="T17" i="10" s="1"/>
  <c r="Q17" i="10"/>
  <c r="S17" i="10" s="1"/>
  <c r="AJ31" i="11"/>
  <c r="AI30" i="11"/>
  <c r="AH30" i="11" s="1"/>
  <c r="AG30" i="11" s="1"/>
  <c r="AF30" i="11" s="1"/>
  <c r="AE30" i="11" s="1"/>
  <c r="AD30" i="11" s="1"/>
  <c r="AK30" i="11" s="1"/>
  <c r="P15" i="15"/>
  <c r="P8" i="15"/>
  <c r="P21" i="15"/>
  <c r="P11" i="15"/>
  <c r="P23" i="15"/>
  <c r="P18" i="15"/>
  <c r="P12" i="15"/>
  <c r="P19" i="15"/>
  <c r="P25" i="15"/>
  <c r="Q6" i="15"/>
  <c r="P17" i="15"/>
  <c r="P14" i="15"/>
  <c r="P20" i="15"/>
  <c r="P5" i="15"/>
  <c r="P9" i="15"/>
  <c r="P22" i="15"/>
  <c r="P16" i="15"/>
  <c r="P24" i="15"/>
  <c r="P26" i="15"/>
  <c r="P27" i="15"/>
  <c r="P13" i="15"/>
  <c r="P7" i="15"/>
  <c r="P10" i="15"/>
  <c r="F21" i="10"/>
  <c r="G20" i="10"/>
  <c r="H20" i="10" s="1"/>
  <c r="I20" i="10" s="1"/>
  <c r="U20" i="10"/>
  <c r="V20" i="10" s="1"/>
  <c r="J19" i="10"/>
  <c r="Q34" i="14"/>
  <c r="R32" i="14"/>
  <c r="P32" i="14"/>
  <c r="U32" i="14"/>
  <c r="S32" i="14"/>
  <c r="T32" i="14"/>
  <c r="BD30" i="14" l="1"/>
  <c r="BC30" i="14"/>
  <c r="BB30" i="14"/>
  <c r="AZ32" i="14"/>
  <c r="AY30" i="14"/>
  <c r="BA30" i="14"/>
  <c r="E32" i="7"/>
  <c r="F32" i="7"/>
  <c r="B32" i="7"/>
  <c r="G32" i="7" s="1"/>
  <c r="D32" i="7"/>
  <c r="C34" i="7"/>
  <c r="H32" i="7"/>
  <c r="M34" i="14"/>
  <c r="L34" i="14"/>
  <c r="J36" i="14"/>
  <c r="I34" i="14"/>
  <c r="K34" i="14"/>
  <c r="N34" i="14"/>
  <c r="W17" i="10"/>
  <c r="AA95" i="7"/>
  <c r="AC93" i="7"/>
  <c r="AF93" i="7"/>
  <c r="Z93" i="7"/>
  <c r="AE93" i="7" s="1"/>
  <c r="AD93" i="7"/>
  <c r="AB93" i="7"/>
  <c r="BF30" i="14"/>
  <c r="BK30" i="14"/>
  <c r="BJ30" i="14"/>
  <c r="BG32" i="14"/>
  <c r="BH30" i="14"/>
  <c r="BI30" i="14"/>
  <c r="S97" i="7"/>
  <c r="X95" i="7"/>
  <c r="U95" i="7"/>
  <c r="R95" i="7"/>
  <c r="W95" i="7" s="1"/>
  <c r="V95" i="7"/>
  <c r="T95" i="7"/>
  <c r="BT26" i="14"/>
  <c r="BX26" i="14"/>
  <c r="BY26" i="14"/>
  <c r="BV26" i="14"/>
  <c r="BU28" i="14"/>
  <c r="BW26" i="14"/>
  <c r="W30" i="14"/>
  <c r="Z30" i="14"/>
  <c r="AA30" i="14"/>
  <c r="Y30" i="14"/>
  <c r="X32" i="14"/>
  <c r="AB30" i="14"/>
  <c r="AS89" i="7"/>
  <c r="AV89" i="7"/>
  <c r="AQ91" i="7"/>
  <c r="AP89" i="7"/>
  <c r="AU89" i="7" s="1"/>
  <c r="AT89" i="7"/>
  <c r="AR89" i="7"/>
  <c r="CC24" i="14"/>
  <c r="CB26" i="14"/>
  <c r="CD24" i="14"/>
  <c r="CF24" i="14"/>
  <c r="CE24" i="14"/>
  <c r="CA24" i="14"/>
  <c r="AK91" i="7"/>
  <c r="AH91" i="7"/>
  <c r="AM91" i="7" s="1"/>
  <c r="AN91" i="7"/>
  <c r="AI93" i="7"/>
  <c r="AJ91" i="7"/>
  <c r="AL91" i="7"/>
  <c r="AN26" i="7"/>
  <c r="AI28" i="7"/>
  <c r="AH26" i="7"/>
  <c r="AM26" i="7" s="1"/>
  <c r="AK26" i="7"/>
  <c r="AL26" i="7"/>
  <c r="AJ26" i="7"/>
  <c r="AT24" i="14"/>
  <c r="AV24" i="14"/>
  <c r="AU24" i="14"/>
  <c r="AS26" i="14"/>
  <c r="AR24" i="14"/>
  <c r="AW24" i="14"/>
  <c r="AN26" i="14"/>
  <c r="AM26" i="14"/>
  <c r="AO26" i="14"/>
  <c r="AP26" i="14"/>
  <c r="AK26" i="14"/>
  <c r="AL28" i="14"/>
  <c r="AT24" i="7"/>
  <c r="AV24" i="7"/>
  <c r="AQ26" i="7"/>
  <c r="AS24" i="7"/>
  <c r="AR24" i="7"/>
  <c r="AP24" i="7"/>
  <c r="AU24" i="7" s="1"/>
  <c r="BP28" i="14"/>
  <c r="BM28" i="14"/>
  <c r="BO28" i="14"/>
  <c r="BN30" i="14"/>
  <c r="BR28" i="14"/>
  <c r="BQ28" i="14"/>
  <c r="H89" i="7"/>
  <c r="C91" i="7"/>
  <c r="F89" i="7"/>
  <c r="B89" i="7"/>
  <c r="G89" i="7" s="1"/>
  <c r="E89" i="7"/>
  <c r="D89" i="7"/>
  <c r="AD28" i="7"/>
  <c r="AB28" i="7"/>
  <c r="AF28" i="7"/>
  <c r="Z28" i="7"/>
  <c r="AE28" i="7" s="1"/>
  <c r="AA30" i="7"/>
  <c r="AC28" i="7"/>
  <c r="AD28" i="14"/>
  <c r="AH28" i="14"/>
  <c r="AF28" i="14"/>
  <c r="AG28" i="14"/>
  <c r="AE30" i="14"/>
  <c r="AI28" i="14"/>
  <c r="P32" i="7"/>
  <c r="J32" i="7"/>
  <c r="O32" i="7" s="1"/>
  <c r="K34" i="7"/>
  <c r="M32" i="7"/>
  <c r="L32" i="7"/>
  <c r="N32" i="7"/>
  <c r="P99" i="7"/>
  <c r="J99" i="7"/>
  <c r="O99" i="7" s="1"/>
  <c r="L99" i="7"/>
  <c r="K101" i="7"/>
  <c r="N99" i="7"/>
  <c r="M99" i="7"/>
  <c r="X30" i="7"/>
  <c r="V30" i="7"/>
  <c r="U30" i="7"/>
  <c r="R30" i="7"/>
  <c r="W30" i="7" s="1"/>
  <c r="S32" i="7"/>
  <c r="T30" i="7"/>
  <c r="N19" i="10"/>
  <c r="O19" i="10" s="1"/>
  <c r="P19" i="10" s="1"/>
  <c r="K19" i="10"/>
  <c r="L19" i="10" s="1"/>
  <c r="M19" i="10" s="1"/>
  <c r="R18" i="10"/>
  <c r="T18" i="10" s="1"/>
  <c r="Q18" i="10"/>
  <c r="S18" i="10" s="1"/>
  <c r="W18" i="10" s="1"/>
  <c r="J20" i="10"/>
  <c r="Q36" i="14"/>
  <c r="S34" i="14"/>
  <c r="R34" i="14"/>
  <c r="U34" i="14"/>
  <c r="T34" i="14"/>
  <c r="P34" i="14"/>
  <c r="U21" i="10"/>
  <c r="V21" i="10" s="1"/>
  <c r="F22" i="10"/>
  <c r="G21" i="10"/>
  <c r="H21" i="10" s="1"/>
  <c r="I21" i="10" s="1"/>
  <c r="AD32" i="11"/>
  <c r="AK32" i="11" s="1"/>
  <c r="AE32" i="11"/>
  <c r="AF33" i="11"/>
  <c r="AE33" i="11"/>
  <c r="AJ33" i="11"/>
  <c r="AJ32" i="11"/>
  <c r="AI33" i="11"/>
  <c r="AH32" i="11"/>
  <c r="AI32" i="11"/>
  <c r="AG33" i="11"/>
  <c r="AD33" i="11"/>
  <c r="AK33" i="11" s="1"/>
  <c r="AF32" i="11"/>
  <c r="AG32" i="11"/>
  <c r="AH33" i="11"/>
  <c r="AI31" i="11"/>
  <c r="AH31" i="11" s="1"/>
  <c r="AG31" i="11" s="1"/>
  <c r="AF31" i="11" s="1"/>
  <c r="AE31" i="11" s="1"/>
  <c r="AD31" i="11" s="1"/>
  <c r="AK31" i="11" s="1"/>
  <c r="D34" i="14"/>
  <c r="F34" i="14"/>
  <c r="C36" i="14"/>
  <c r="E34" i="14"/>
  <c r="B34" i="14"/>
  <c r="G34" i="14"/>
  <c r="Q25" i="15"/>
  <c r="Q18" i="15"/>
  <c r="Q14" i="15"/>
  <c r="Q24" i="15"/>
  <c r="Q21" i="15"/>
  <c r="Q13" i="15"/>
  <c r="Q27" i="15"/>
  <c r="Q10" i="15"/>
  <c r="Q5" i="15"/>
  <c r="Q17" i="15"/>
  <c r="Q16" i="15"/>
  <c r="Q8" i="15"/>
  <c r="Q19" i="15"/>
  <c r="Q12" i="15"/>
  <c r="Q20" i="15"/>
  <c r="Q11" i="15"/>
  <c r="Q9" i="15"/>
  <c r="Q7" i="15"/>
  <c r="R6" i="15"/>
  <c r="Q15" i="15"/>
  <c r="Q22" i="15"/>
  <c r="Q23" i="15"/>
  <c r="Q26" i="15"/>
  <c r="BC32" i="14" l="1"/>
  <c r="BA32" i="14"/>
  <c r="BB32" i="14"/>
  <c r="AZ34" i="14"/>
  <c r="AY32" i="14"/>
  <c r="BD32" i="14"/>
  <c r="D34" i="7"/>
  <c r="B34" i="7"/>
  <c r="G34" i="7" s="1"/>
  <c r="C36" i="7"/>
  <c r="E34" i="7"/>
  <c r="F34" i="7"/>
  <c r="H34" i="7"/>
  <c r="N36" i="14"/>
  <c r="M36" i="14"/>
  <c r="K36" i="14"/>
  <c r="L36" i="14"/>
  <c r="I36" i="14"/>
  <c r="J38" i="14"/>
  <c r="N101" i="7"/>
  <c r="K103" i="7"/>
  <c r="L101" i="7"/>
  <c r="M101" i="7"/>
  <c r="P101" i="7"/>
  <c r="J101" i="7"/>
  <c r="O101" i="7" s="1"/>
  <c r="R32" i="7"/>
  <c r="W32" i="7" s="1"/>
  <c r="V32" i="7"/>
  <c r="U32" i="7"/>
  <c r="T32" i="7"/>
  <c r="X32" i="7"/>
  <c r="S34" i="7"/>
  <c r="AF30" i="7"/>
  <c r="AD30" i="7"/>
  <c r="Z30" i="7"/>
  <c r="AE30" i="7" s="1"/>
  <c r="AB30" i="7"/>
  <c r="AC30" i="7"/>
  <c r="AA32" i="7"/>
  <c r="BX28" i="14"/>
  <c r="BT28" i="14"/>
  <c r="BW28" i="14"/>
  <c r="BU30" i="14"/>
  <c r="BV28" i="14"/>
  <c r="BY28" i="14"/>
  <c r="D91" i="7"/>
  <c r="B91" i="7"/>
  <c r="G91" i="7" s="1"/>
  <c r="E91" i="7"/>
  <c r="F91" i="7"/>
  <c r="H91" i="7"/>
  <c r="C93" i="7"/>
  <c r="AK93" i="7"/>
  <c r="AN93" i="7"/>
  <c r="AH93" i="7"/>
  <c r="AM93" i="7" s="1"/>
  <c r="AI95" i="7"/>
  <c r="AL93" i="7"/>
  <c r="AJ93" i="7"/>
  <c r="CF26" i="14"/>
  <c r="CE26" i="14"/>
  <c r="CA26" i="14"/>
  <c r="CB28" i="14"/>
  <c r="CD26" i="14"/>
  <c r="CC26" i="14"/>
  <c r="AG30" i="14"/>
  <c r="AI30" i="14"/>
  <c r="AH30" i="14"/>
  <c r="AF30" i="14"/>
  <c r="AD30" i="14"/>
  <c r="AE32" i="14"/>
  <c r="Y32" i="14"/>
  <c r="AA32" i="14"/>
  <c r="Z32" i="14"/>
  <c r="AB32" i="14"/>
  <c r="X34" i="14"/>
  <c r="W32" i="14"/>
  <c r="S99" i="7"/>
  <c r="R97" i="7"/>
  <c r="W97" i="7" s="1"/>
  <c r="V97" i="7"/>
  <c r="T97" i="7"/>
  <c r="X97" i="7"/>
  <c r="U97" i="7"/>
  <c r="AR26" i="7"/>
  <c r="AT26" i="7"/>
  <c r="AP26" i="7"/>
  <c r="AU26" i="7" s="1"/>
  <c r="AQ28" i="7"/>
  <c r="AS26" i="7"/>
  <c r="AV26" i="7"/>
  <c r="BO30" i="14"/>
  <c r="BQ30" i="14"/>
  <c r="BN32" i="14"/>
  <c r="BP30" i="14"/>
  <c r="BM30" i="14"/>
  <c r="BR30" i="14"/>
  <c r="AN28" i="14"/>
  <c r="AK28" i="14"/>
  <c r="AM28" i="14"/>
  <c r="AL30" i="14"/>
  <c r="AP28" i="14"/>
  <c r="AO28" i="14"/>
  <c r="AV26" i="14"/>
  <c r="AS28" i="14"/>
  <c r="AW26" i="14"/>
  <c r="AT26" i="14"/>
  <c r="AU26" i="14"/>
  <c r="AR26" i="14"/>
  <c r="AL28" i="7"/>
  <c r="AI30" i="7"/>
  <c r="AJ28" i="7"/>
  <c r="AN28" i="7"/>
  <c r="AH28" i="7"/>
  <c r="AM28" i="7" s="1"/>
  <c r="AK28" i="7"/>
  <c r="BI32" i="14"/>
  <c r="BJ32" i="14"/>
  <c r="BH32" i="14"/>
  <c r="BG34" i="14"/>
  <c r="BK32" i="14"/>
  <c r="BF32" i="14"/>
  <c r="M34" i="7"/>
  <c r="J34" i="7"/>
  <c r="O34" i="7" s="1"/>
  <c r="P34" i="7"/>
  <c r="K36" i="7"/>
  <c r="L34" i="7"/>
  <c r="N34" i="7"/>
  <c r="AV91" i="7"/>
  <c r="AS91" i="7"/>
  <c r="AP91" i="7"/>
  <c r="AU91" i="7" s="1"/>
  <c r="AQ93" i="7"/>
  <c r="AT91" i="7"/>
  <c r="AR91" i="7"/>
  <c r="Z95" i="7"/>
  <c r="AE95" i="7" s="1"/>
  <c r="AF95" i="7"/>
  <c r="AA97" i="7"/>
  <c r="AC95" i="7"/>
  <c r="AD95" i="7"/>
  <c r="AB95" i="7"/>
  <c r="B36" i="14"/>
  <c r="C38" i="14"/>
  <c r="G36" i="14"/>
  <c r="F36" i="14"/>
  <c r="E36" i="14"/>
  <c r="D36" i="14"/>
  <c r="J21" i="10"/>
  <c r="U36" i="14"/>
  <c r="S36" i="14"/>
  <c r="R36" i="14"/>
  <c r="Q38" i="14"/>
  <c r="P36" i="14"/>
  <c r="T36" i="14"/>
  <c r="Q19" i="10"/>
  <c r="S19" i="10" s="1"/>
  <c r="W19" i="10" s="1"/>
  <c r="R19" i="10"/>
  <c r="T19" i="10" s="1"/>
  <c r="F23" i="10"/>
  <c r="G22" i="10"/>
  <c r="H22" i="10" s="1"/>
  <c r="I22" i="10" s="1"/>
  <c r="U22" i="10"/>
  <c r="V22" i="10" s="1"/>
  <c r="R25" i="15"/>
  <c r="R12" i="15"/>
  <c r="R18" i="15"/>
  <c r="R13" i="15"/>
  <c r="R10" i="15"/>
  <c r="R8" i="15"/>
  <c r="S6" i="15"/>
  <c r="R26" i="15"/>
  <c r="R24" i="15"/>
  <c r="R14" i="15"/>
  <c r="R19" i="15"/>
  <c r="R17" i="15"/>
  <c r="R5" i="15"/>
  <c r="R9" i="15"/>
  <c r="R23" i="15"/>
  <c r="R27" i="15"/>
  <c r="R11" i="15"/>
  <c r="R16" i="15"/>
  <c r="R15" i="15"/>
  <c r="R20" i="15"/>
  <c r="R4" i="15"/>
  <c r="R22" i="15"/>
  <c r="R7" i="15"/>
  <c r="R21" i="15"/>
  <c r="K20" i="10"/>
  <c r="L20" i="10" s="1"/>
  <c r="M20" i="10" s="1"/>
  <c r="N20" i="10"/>
  <c r="O20" i="10" s="1"/>
  <c r="P20" i="10" s="1"/>
  <c r="BB34" i="14" l="1"/>
  <c r="BD34" i="14"/>
  <c r="AY34" i="14"/>
  <c r="BC34" i="14"/>
  <c r="BA34" i="14"/>
  <c r="AZ36" i="14"/>
  <c r="E36" i="7"/>
  <c r="D36" i="7"/>
  <c r="H36" i="7"/>
  <c r="F36" i="7"/>
  <c r="B36" i="7"/>
  <c r="G36" i="7" s="1"/>
  <c r="C38" i="7"/>
  <c r="N38" i="14"/>
  <c r="J40" i="14"/>
  <c r="M38" i="14"/>
  <c r="I38" i="14"/>
  <c r="L38" i="14"/>
  <c r="K38" i="14"/>
  <c r="AR93" i="7"/>
  <c r="AS93" i="7"/>
  <c r="AT93" i="7"/>
  <c r="AP93" i="7"/>
  <c r="AU93" i="7" s="1"/>
  <c r="AQ95" i="7"/>
  <c r="AV93" i="7"/>
  <c r="AH32" i="14"/>
  <c r="AD32" i="14"/>
  <c r="AG32" i="14"/>
  <c r="AI32" i="14"/>
  <c r="AE34" i="14"/>
  <c r="AF32" i="14"/>
  <c r="CF28" i="14"/>
  <c r="CA28" i="14"/>
  <c r="CB30" i="14"/>
  <c r="CD28" i="14"/>
  <c r="CE28" i="14"/>
  <c r="CC28" i="14"/>
  <c r="T99" i="7"/>
  <c r="V99" i="7"/>
  <c r="R99" i="7"/>
  <c r="W99" i="7" s="1"/>
  <c r="U99" i="7"/>
  <c r="S101" i="7"/>
  <c r="X99" i="7"/>
  <c r="AV28" i="14"/>
  <c r="AT28" i="14"/>
  <c r="AU28" i="14"/>
  <c r="AR28" i="14"/>
  <c r="AS30" i="14"/>
  <c r="AW28" i="14"/>
  <c r="AP28" i="7"/>
  <c r="AU28" i="7" s="1"/>
  <c r="AQ30" i="7"/>
  <c r="AT28" i="7"/>
  <c r="AR28" i="7"/>
  <c r="AS28" i="7"/>
  <c r="AV28" i="7"/>
  <c r="B93" i="7"/>
  <c r="G93" i="7" s="1"/>
  <c r="H93" i="7"/>
  <c r="C95" i="7"/>
  <c r="E93" i="7"/>
  <c r="F93" i="7"/>
  <c r="D93" i="7"/>
  <c r="BW30" i="14"/>
  <c r="BY30" i="14"/>
  <c r="BX30" i="14"/>
  <c r="BV30" i="14"/>
  <c r="BU32" i="14"/>
  <c r="BT30" i="14"/>
  <c r="AA99" i="7"/>
  <c r="AF97" i="7"/>
  <c r="AC97" i="7"/>
  <c r="Z97" i="7"/>
  <c r="AE97" i="7" s="1"/>
  <c r="AD97" i="7"/>
  <c r="AB97" i="7"/>
  <c r="AB34" i="14"/>
  <c r="Z34" i="14"/>
  <c r="X36" i="14"/>
  <c r="AA34" i="14"/>
  <c r="W34" i="14"/>
  <c r="Y34" i="14"/>
  <c r="BF34" i="14"/>
  <c r="BK34" i="14"/>
  <c r="BJ34" i="14"/>
  <c r="BI34" i="14"/>
  <c r="BG36" i="14"/>
  <c r="BH34" i="14"/>
  <c r="AJ30" i="7"/>
  <c r="AH30" i="7"/>
  <c r="AM30" i="7" s="1"/>
  <c r="AL30" i="7"/>
  <c r="AN30" i="7"/>
  <c r="AI32" i="7"/>
  <c r="AK30" i="7"/>
  <c r="V34" i="7"/>
  <c r="S36" i="7"/>
  <c r="T34" i="7"/>
  <c r="U34" i="7"/>
  <c r="R34" i="7"/>
  <c r="W34" i="7" s="1"/>
  <c r="X34" i="7"/>
  <c r="BQ32" i="14"/>
  <c r="BN34" i="14"/>
  <c r="BP32" i="14"/>
  <c r="BM32" i="14"/>
  <c r="BR32" i="14"/>
  <c r="BO32" i="14"/>
  <c r="P36" i="7"/>
  <c r="M36" i="7"/>
  <c r="J36" i="7"/>
  <c r="O36" i="7" s="1"/>
  <c r="L36" i="7"/>
  <c r="N36" i="7"/>
  <c r="K38" i="7"/>
  <c r="AO30" i="14"/>
  <c r="AL32" i="14"/>
  <c r="AN30" i="14"/>
  <c r="AK30" i="14"/>
  <c r="AP30" i="14"/>
  <c r="AM30" i="14"/>
  <c r="AK95" i="7"/>
  <c r="AH95" i="7"/>
  <c r="AM95" i="7" s="1"/>
  <c r="AN95" i="7"/>
  <c r="AI97" i="7"/>
  <c r="AL95" i="7"/>
  <c r="AJ95" i="7"/>
  <c r="AC32" i="7"/>
  <c r="AA34" i="7"/>
  <c r="Z32" i="7"/>
  <c r="AE32" i="7" s="1"/>
  <c r="AF32" i="7"/>
  <c r="AB32" i="7"/>
  <c r="AD32" i="7"/>
  <c r="L103" i="7"/>
  <c r="M103" i="7"/>
  <c r="J103" i="7"/>
  <c r="O103" i="7" s="1"/>
  <c r="K105" i="7"/>
  <c r="P103" i="7"/>
  <c r="N103" i="7"/>
  <c r="R20" i="10"/>
  <c r="T20" i="10" s="1"/>
  <c r="Q20" i="10"/>
  <c r="S20" i="10" s="1"/>
  <c r="W20" i="10" s="1"/>
  <c r="C40" i="14"/>
  <c r="B38" i="14"/>
  <c r="F38" i="14"/>
  <c r="E38" i="14"/>
  <c r="D38" i="14"/>
  <c r="G38" i="14"/>
  <c r="K21" i="10"/>
  <c r="L21" i="10" s="1"/>
  <c r="M21" i="10" s="1"/>
  <c r="N21" i="10"/>
  <c r="O21" i="10" s="1"/>
  <c r="P21" i="10" s="1"/>
  <c r="U23" i="10"/>
  <c r="V23" i="10" s="1"/>
  <c r="F24" i="10"/>
  <c r="G23" i="10"/>
  <c r="H23" i="10" s="1"/>
  <c r="I23" i="10" s="1"/>
  <c r="S19" i="15"/>
  <c r="S25" i="15"/>
  <c r="S17" i="15"/>
  <c r="S8" i="15"/>
  <c r="S10" i="15"/>
  <c r="S21" i="15"/>
  <c r="S23" i="15"/>
  <c r="S14" i="15"/>
  <c r="S20" i="15"/>
  <c r="S12" i="15"/>
  <c r="S27" i="15"/>
  <c r="S9" i="15"/>
  <c r="S22" i="15"/>
  <c r="S13" i="15"/>
  <c r="S18" i="15"/>
  <c r="S26" i="15"/>
  <c r="S24" i="15"/>
  <c r="S5" i="15"/>
  <c r="S7" i="15"/>
  <c r="S16" i="15"/>
  <c r="S11" i="15"/>
  <c r="S15" i="15"/>
  <c r="T6" i="15"/>
  <c r="J22" i="10"/>
  <c r="U38" i="14"/>
  <c r="T38" i="14"/>
  <c r="R38" i="14"/>
  <c r="S38" i="14"/>
  <c r="Q40" i="14"/>
  <c r="P38" i="14"/>
  <c r="BD36" i="14" l="1"/>
  <c r="AZ38" i="14"/>
  <c r="BC36" i="14"/>
  <c r="AY36" i="14"/>
  <c r="BB36" i="14"/>
  <c r="BA36" i="14"/>
  <c r="H38" i="7"/>
  <c r="C40" i="7"/>
  <c r="F38" i="7"/>
  <c r="D38" i="7"/>
  <c r="B38" i="7"/>
  <c r="G38" i="7" s="1"/>
  <c r="E38" i="7"/>
  <c r="K40" i="14"/>
  <c r="J42" i="14"/>
  <c r="I40" i="14"/>
  <c r="N40" i="14"/>
  <c r="M40" i="14"/>
  <c r="L40" i="14"/>
  <c r="BM34" i="14"/>
  <c r="BN36" i="14"/>
  <c r="BP34" i="14"/>
  <c r="BQ34" i="14"/>
  <c r="BR34" i="14"/>
  <c r="BO34" i="14"/>
  <c r="AR30" i="7"/>
  <c r="AS30" i="7"/>
  <c r="AV30" i="7"/>
  <c r="AQ32" i="7"/>
  <c r="AT30" i="7"/>
  <c r="AP30" i="7"/>
  <c r="AU30" i="7" s="1"/>
  <c r="AL32" i="7"/>
  <c r="AH32" i="7"/>
  <c r="AM32" i="7" s="1"/>
  <c r="AI34" i="7"/>
  <c r="AN32" i="7"/>
  <c r="AK32" i="7"/>
  <c r="AJ32" i="7"/>
  <c r="BW32" i="14"/>
  <c r="BT32" i="14"/>
  <c r="BV32" i="14"/>
  <c r="BU34" i="14"/>
  <c r="BX32" i="14"/>
  <c r="BY32" i="14"/>
  <c r="B95" i="7"/>
  <c r="G95" i="7" s="1"/>
  <c r="C97" i="7"/>
  <c r="F95" i="7"/>
  <c r="H95" i="7"/>
  <c r="D95" i="7"/>
  <c r="E95" i="7"/>
  <c r="S103" i="7"/>
  <c r="U101" i="7"/>
  <c r="X101" i="7"/>
  <c r="T101" i="7"/>
  <c r="V101" i="7"/>
  <c r="R101" i="7"/>
  <c r="W101" i="7" s="1"/>
  <c r="CF30" i="14"/>
  <c r="CA30" i="14"/>
  <c r="CD30" i="14"/>
  <c r="CB32" i="14"/>
  <c r="CC30" i="14"/>
  <c r="CE30" i="14"/>
  <c r="K107" i="7"/>
  <c r="M105" i="7"/>
  <c r="L105" i="7"/>
  <c r="J105" i="7"/>
  <c r="O105" i="7" s="1"/>
  <c r="N105" i="7"/>
  <c r="P105" i="7"/>
  <c r="AA36" i="7"/>
  <c r="Z34" i="7"/>
  <c r="AE34" i="7" s="1"/>
  <c r="AF34" i="7"/>
  <c r="AB34" i="7"/>
  <c r="AD34" i="7"/>
  <c r="AC34" i="7"/>
  <c r="AU30" i="14"/>
  <c r="AV30" i="14"/>
  <c r="AS32" i="14"/>
  <c r="AR30" i="14"/>
  <c r="AT30" i="14"/>
  <c r="AW30" i="14"/>
  <c r="AV95" i="7"/>
  <c r="AR95" i="7"/>
  <c r="AS95" i="7"/>
  <c r="AQ97" i="7"/>
  <c r="AP95" i="7"/>
  <c r="AU95" i="7" s="1"/>
  <c r="AT95" i="7"/>
  <c r="AM32" i="14"/>
  <c r="AK32" i="14"/>
  <c r="AP32" i="14"/>
  <c r="AO32" i="14"/>
  <c r="AL34" i="14"/>
  <c r="AN32" i="14"/>
  <c r="AH34" i="14"/>
  <c r="AD34" i="14"/>
  <c r="AE36" i="14"/>
  <c r="AF34" i="14"/>
  <c r="AG34" i="14"/>
  <c r="AI34" i="14"/>
  <c r="AI99" i="7"/>
  <c r="AN97" i="7"/>
  <c r="AH97" i="7"/>
  <c r="AM97" i="7" s="1"/>
  <c r="AK97" i="7"/>
  <c r="AL97" i="7"/>
  <c r="AJ97" i="7"/>
  <c r="J38" i="7"/>
  <c r="O38" i="7" s="1"/>
  <c r="N38" i="7"/>
  <c r="L38" i="7"/>
  <c r="M38" i="7"/>
  <c r="P38" i="7"/>
  <c r="K40" i="7"/>
  <c r="T36" i="7"/>
  <c r="R36" i="7"/>
  <c r="W36" i="7" s="1"/>
  <c r="V36" i="7"/>
  <c r="X36" i="7"/>
  <c r="S38" i="7"/>
  <c r="U36" i="7"/>
  <c r="BF36" i="14"/>
  <c r="BI36" i="14"/>
  <c r="BJ36" i="14"/>
  <c r="BG38" i="14"/>
  <c r="BH36" i="14"/>
  <c r="BK36" i="14"/>
  <c r="Z36" i="14"/>
  <c r="AB36" i="14"/>
  <c r="AA36" i="14"/>
  <c r="Y36" i="14"/>
  <c r="W36" i="14"/>
  <c r="X38" i="14"/>
  <c r="AC99" i="7"/>
  <c r="AA101" i="7"/>
  <c r="Z99" i="7"/>
  <c r="AE99" i="7" s="1"/>
  <c r="AF99" i="7"/>
  <c r="AD99" i="7"/>
  <c r="AB99" i="7"/>
  <c r="Q21" i="10"/>
  <c r="S21" i="10" s="1"/>
  <c r="R21" i="10"/>
  <c r="T21" i="10" s="1"/>
  <c r="B40" i="14"/>
  <c r="G40" i="14"/>
  <c r="D40" i="14"/>
  <c r="F40" i="14"/>
  <c r="C42" i="14"/>
  <c r="E40" i="14"/>
  <c r="K22" i="10"/>
  <c r="L22" i="10" s="1"/>
  <c r="M22" i="10" s="1"/>
  <c r="N22" i="10"/>
  <c r="O22" i="10" s="1"/>
  <c r="P22" i="10" s="1"/>
  <c r="T15" i="15"/>
  <c r="T22" i="15"/>
  <c r="T9" i="15"/>
  <c r="T13" i="15"/>
  <c r="T12" i="15"/>
  <c r="T18" i="15"/>
  <c r="T7" i="15"/>
  <c r="T16" i="15"/>
  <c r="T23" i="15"/>
  <c r="T10" i="15"/>
  <c r="T11" i="15"/>
  <c r="T25" i="15"/>
  <c r="T20" i="15"/>
  <c r="T14" i="15"/>
  <c r="T8" i="15"/>
  <c r="T26" i="15"/>
  <c r="T19" i="15"/>
  <c r="T21" i="15"/>
  <c r="T17" i="15"/>
  <c r="T24" i="15"/>
  <c r="T27" i="15"/>
  <c r="T5" i="15"/>
  <c r="U6" i="15"/>
  <c r="J23" i="10"/>
  <c r="S40" i="14"/>
  <c r="R40" i="14"/>
  <c r="P40" i="14"/>
  <c r="Q42" i="14"/>
  <c r="T40" i="14"/>
  <c r="U40" i="14"/>
  <c r="G24" i="10"/>
  <c r="H24" i="10" s="1"/>
  <c r="I24" i="10" s="1"/>
  <c r="F25" i="10"/>
  <c r="U24" i="10"/>
  <c r="V24" i="10" s="1"/>
  <c r="BA38" i="14" l="1"/>
  <c r="AY38" i="14"/>
  <c r="BB38" i="14"/>
  <c r="BD38" i="14"/>
  <c r="AZ40" i="14"/>
  <c r="BC38" i="14"/>
  <c r="D40" i="7"/>
  <c r="F40" i="7"/>
  <c r="E40" i="7"/>
  <c r="B40" i="7"/>
  <c r="G40" i="7" s="1"/>
  <c r="C42" i="7"/>
  <c r="H40" i="7"/>
  <c r="L42" i="14"/>
  <c r="I42" i="14"/>
  <c r="K42" i="14"/>
  <c r="N42" i="14"/>
  <c r="M42" i="14"/>
  <c r="J44" i="14"/>
  <c r="K42" i="7"/>
  <c r="J40" i="7"/>
  <c r="O40" i="7" s="1"/>
  <c r="N40" i="7"/>
  <c r="L40" i="7"/>
  <c r="M40" i="7"/>
  <c r="P40" i="7"/>
  <c r="AT97" i="7"/>
  <c r="AS97" i="7"/>
  <c r="AR97" i="7"/>
  <c r="AV97" i="7"/>
  <c r="AQ99" i="7"/>
  <c r="AP97" i="7"/>
  <c r="AU97" i="7" s="1"/>
  <c r="CF32" i="14"/>
  <c r="CE32" i="14"/>
  <c r="CA32" i="14"/>
  <c r="CB34" i="14"/>
  <c r="CC32" i="14"/>
  <c r="CD32" i="14"/>
  <c r="X103" i="7"/>
  <c r="R103" i="7"/>
  <c r="W103" i="7" s="1"/>
  <c r="T103" i="7"/>
  <c r="S105" i="7"/>
  <c r="V103" i="7"/>
  <c r="U103" i="7"/>
  <c r="AK34" i="7"/>
  <c r="AL34" i="7"/>
  <c r="AJ34" i="7"/>
  <c r="AH34" i="7"/>
  <c r="AM34" i="7" s="1"/>
  <c r="AN34" i="7"/>
  <c r="AI36" i="7"/>
  <c r="BV34" i="14"/>
  <c r="BW34" i="14"/>
  <c r="BT34" i="14"/>
  <c r="BU36" i="14"/>
  <c r="BX34" i="14"/>
  <c r="BY34" i="14"/>
  <c r="S40" i="7"/>
  <c r="T38" i="7"/>
  <c r="U38" i="7"/>
  <c r="V38" i="7"/>
  <c r="X38" i="7"/>
  <c r="R38" i="7"/>
  <c r="W38" i="7" s="1"/>
  <c r="AH99" i="7"/>
  <c r="AM99" i="7" s="1"/>
  <c r="AN99" i="7"/>
  <c r="AK99" i="7"/>
  <c r="AI101" i="7"/>
  <c r="AL99" i="7"/>
  <c r="AJ99" i="7"/>
  <c r="AP34" i="14"/>
  <c r="AO34" i="14"/>
  <c r="AL36" i="14"/>
  <c r="AN34" i="14"/>
  <c r="AK34" i="14"/>
  <c r="AM34" i="14"/>
  <c r="AC101" i="7"/>
  <c r="Z101" i="7"/>
  <c r="AE101" i="7" s="1"/>
  <c r="AF101" i="7"/>
  <c r="AA103" i="7"/>
  <c r="AD101" i="7"/>
  <c r="AB101" i="7"/>
  <c r="N107" i="7"/>
  <c r="J107" i="7"/>
  <c r="O107" i="7" s="1"/>
  <c r="K109" i="7"/>
  <c r="P107" i="7"/>
  <c r="M107" i="7"/>
  <c r="L107" i="7"/>
  <c r="W38" i="14"/>
  <c r="AB38" i="14"/>
  <c r="AA38" i="14"/>
  <c r="Z38" i="14"/>
  <c r="Y38" i="14"/>
  <c r="X40" i="14"/>
  <c r="BJ38" i="14"/>
  <c r="BI38" i="14"/>
  <c r="BF38" i="14"/>
  <c r="BG40" i="14"/>
  <c r="BH38" i="14"/>
  <c r="BK38" i="14"/>
  <c r="B97" i="7"/>
  <c r="G97" i="7" s="1"/>
  <c r="F97" i="7"/>
  <c r="D97" i="7"/>
  <c r="E97" i="7"/>
  <c r="H97" i="7"/>
  <c r="C99" i="7"/>
  <c r="AP32" i="7"/>
  <c r="AU32" i="7" s="1"/>
  <c r="AQ34" i="7"/>
  <c r="AV32" i="7"/>
  <c r="AT32" i="7"/>
  <c r="AR32" i="7"/>
  <c r="AS32" i="7"/>
  <c r="BQ36" i="14"/>
  <c r="BM36" i="14"/>
  <c r="BO36" i="14"/>
  <c r="BP36" i="14"/>
  <c r="BN38" i="14"/>
  <c r="BR36" i="14"/>
  <c r="W21" i="10"/>
  <c r="AE38" i="14"/>
  <c r="AF36" i="14"/>
  <c r="AD36" i="14"/>
  <c r="AI36" i="14"/>
  <c r="AH36" i="14"/>
  <c r="AG36" i="14"/>
  <c r="AR32" i="14"/>
  <c r="AS34" i="14"/>
  <c r="AV32" i="14"/>
  <c r="AW32" i="14"/>
  <c r="AU32" i="14"/>
  <c r="AT32" i="14"/>
  <c r="Z36" i="7"/>
  <c r="AE36" i="7" s="1"/>
  <c r="AD36" i="7"/>
  <c r="AF36" i="7"/>
  <c r="AB36" i="7"/>
  <c r="AC36" i="7"/>
  <c r="AA38" i="7"/>
  <c r="U8" i="15"/>
  <c r="U19" i="15"/>
  <c r="U14" i="15"/>
  <c r="U25" i="15"/>
  <c r="U22" i="15"/>
  <c r="U27" i="15"/>
  <c r="U21" i="15"/>
  <c r="U20" i="15"/>
  <c r="U13" i="15"/>
  <c r="U11" i="15"/>
  <c r="U9" i="15"/>
  <c r="U24" i="15"/>
  <c r="U26" i="15"/>
  <c r="U5" i="15"/>
  <c r="U12" i="15"/>
  <c r="U10" i="15"/>
  <c r="U7" i="15"/>
  <c r="U18" i="15"/>
  <c r="U16" i="15"/>
  <c r="U23" i="15"/>
  <c r="V6" i="15"/>
  <c r="U15" i="15"/>
  <c r="U17" i="15"/>
  <c r="C44" i="14"/>
  <c r="G42" i="14"/>
  <c r="F42" i="14"/>
  <c r="D42" i="14"/>
  <c r="E42" i="14"/>
  <c r="B42" i="14"/>
  <c r="R22" i="10"/>
  <c r="T22" i="10" s="1"/>
  <c r="Q22" i="10"/>
  <c r="S22" i="10" s="1"/>
  <c r="P42" i="14"/>
  <c r="U42" i="14"/>
  <c r="T42" i="14"/>
  <c r="S42" i="14"/>
  <c r="R42" i="14"/>
  <c r="Q44" i="14"/>
  <c r="N23" i="10"/>
  <c r="O23" i="10" s="1"/>
  <c r="P23" i="10" s="1"/>
  <c r="K23" i="10"/>
  <c r="L23" i="10" s="1"/>
  <c r="M23" i="10" s="1"/>
  <c r="J24" i="10"/>
  <c r="F26" i="10"/>
  <c r="G25" i="10"/>
  <c r="H25" i="10" s="1"/>
  <c r="I25" i="10" s="1"/>
  <c r="U25" i="10"/>
  <c r="V25" i="10" s="1"/>
  <c r="AY40" i="14" l="1"/>
  <c r="BB40" i="14"/>
  <c r="BD40" i="14"/>
  <c r="BA40" i="14"/>
  <c r="BC40" i="14"/>
  <c r="AZ42" i="14"/>
  <c r="D42" i="7"/>
  <c r="E42" i="7"/>
  <c r="C44" i="7"/>
  <c r="F42" i="7"/>
  <c r="H42" i="7"/>
  <c r="B42" i="7"/>
  <c r="G42" i="7" s="1"/>
  <c r="I44" i="14"/>
  <c r="J46" i="14"/>
  <c r="N44" i="14"/>
  <c r="L44" i="14"/>
  <c r="K44" i="14"/>
  <c r="M44" i="14"/>
  <c r="W22" i="10"/>
  <c r="AE40" i="14"/>
  <c r="AH38" i="14"/>
  <c r="AG38" i="14"/>
  <c r="AD38" i="14"/>
  <c r="AF38" i="14"/>
  <c r="AI38" i="14"/>
  <c r="CC34" i="14"/>
  <c r="CA34" i="14"/>
  <c r="CF34" i="14"/>
  <c r="CE34" i="14"/>
  <c r="CD34" i="14"/>
  <c r="CB36" i="14"/>
  <c r="AB40" i="14"/>
  <c r="AA40" i="14"/>
  <c r="X42" i="14"/>
  <c r="Y40" i="14"/>
  <c r="Z40" i="14"/>
  <c r="W40" i="14"/>
  <c r="AH101" i="7"/>
  <c r="AM101" i="7" s="1"/>
  <c r="AI103" i="7"/>
  <c r="AN101" i="7"/>
  <c r="AK101" i="7"/>
  <c r="AL101" i="7"/>
  <c r="AJ101" i="7"/>
  <c r="AL36" i="7"/>
  <c r="AI38" i="7"/>
  <c r="AN36" i="7"/>
  <c r="AJ36" i="7"/>
  <c r="AH36" i="7"/>
  <c r="AM36" i="7" s="1"/>
  <c r="AK36" i="7"/>
  <c r="X105" i="7"/>
  <c r="V105" i="7"/>
  <c r="T105" i="7"/>
  <c r="S107" i="7"/>
  <c r="R105" i="7"/>
  <c r="W105" i="7" s="1"/>
  <c r="U105" i="7"/>
  <c r="BO38" i="14"/>
  <c r="BP38" i="14"/>
  <c r="BR38" i="14"/>
  <c r="BN40" i="14"/>
  <c r="BM38" i="14"/>
  <c r="BQ38" i="14"/>
  <c r="N109" i="7"/>
  <c r="M109" i="7"/>
  <c r="P109" i="7"/>
  <c r="J109" i="7"/>
  <c r="O109" i="7" s="1"/>
  <c r="L109" i="7"/>
  <c r="K111" i="7"/>
  <c r="X40" i="7"/>
  <c r="T40" i="7"/>
  <c r="S42" i="7"/>
  <c r="V40" i="7"/>
  <c r="U40" i="7"/>
  <c r="R40" i="7"/>
  <c r="W40" i="7" s="1"/>
  <c r="AQ36" i="7"/>
  <c r="AR34" i="7"/>
  <c r="AV34" i="7"/>
  <c r="AT34" i="7"/>
  <c r="AP34" i="7"/>
  <c r="AU34" i="7" s="1"/>
  <c r="AS34" i="7"/>
  <c r="AL38" i="14"/>
  <c r="AN36" i="14"/>
  <c r="AP36" i="14"/>
  <c r="AM36" i="14"/>
  <c r="AK36" i="14"/>
  <c r="AO36" i="14"/>
  <c r="AR99" i="7"/>
  <c r="AP99" i="7"/>
  <c r="AU99" i="7" s="1"/>
  <c r="AT99" i="7"/>
  <c r="AV99" i="7"/>
  <c r="AS99" i="7"/>
  <c r="AQ101" i="7"/>
  <c r="D99" i="7"/>
  <c r="B99" i="7"/>
  <c r="G99" i="7" s="1"/>
  <c r="C101" i="7"/>
  <c r="E99" i="7"/>
  <c r="F99" i="7"/>
  <c r="H99" i="7"/>
  <c r="BG42" i="14"/>
  <c r="BF40" i="14"/>
  <c r="BI40" i="14"/>
  <c r="BH40" i="14"/>
  <c r="BK40" i="14"/>
  <c r="BJ40" i="14"/>
  <c r="AF103" i="7"/>
  <c r="AC103" i="7"/>
  <c r="Z103" i="7"/>
  <c r="AE103" i="7" s="1"/>
  <c r="AA105" i="7"/>
  <c r="AD103" i="7"/>
  <c r="AB103" i="7"/>
  <c r="BX36" i="14"/>
  <c r="BY36" i="14"/>
  <c r="BW36" i="14"/>
  <c r="BV36" i="14"/>
  <c r="BU38" i="14"/>
  <c r="BT36" i="14"/>
  <c r="AS36" i="14"/>
  <c r="AV34" i="14"/>
  <c r="AR34" i="14"/>
  <c r="AT34" i="14"/>
  <c r="AU34" i="14"/>
  <c r="AW34" i="14"/>
  <c r="AA40" i="7"/>
  <c r="AD38" i="7"/>
  <c r="AB38" i="7"/>
  <c r="AF38" i="7"/>
  <c r="Z38" i="7"/>
  <c r="AE38" i="7" s="1"/>
  <c r="AC38" i="7"/>
  <c r="P42" i="7"/>
  <c r="N42" i="7"/>
  <c r="M42" i="7"/>
  <c r="J42" i="7"/>
  <c r="O42" i="7" s="1"/>
  <c r="L42" i="7"/>
  <c r="K44" i="7"/>
  <c r="G44" i="14"/>
  <c r="F44" i="14"/>
  <c r="C46" i="14"/>
  <c r="D44" i="14"/>
  <c r="B44" i="14"/>
  <c r="E44" i="14"/>
  <c r="V10" i="15"/>
  <c r="V20" i="15"/>
  <c r="V21" i="15"/>
  <c r="V13" i="15"/>
  <c r="V18" i="15"/>
  <c r="V23" i="15"/>
  <c r="V5" i="15"/>
  <c r="V16" i="15"/>
  <c r="V9" i="15"/>
  <c r="V25" i="15"/>
  <c r="V26" i="15"/>
  <c r="V22" i="15"/>
  <c r="V27" i="15"/>
  <c r="V19" i="15"/>
  <c r="V11" i="15"/>
  <c r="W6" i="15"/>
  <c r="V12" i="15"/>
  <c r="V24" i="15"/>
  <c r="V8" i="15"/>
  <c r="V7" i="15"/>
  <c r="V17" i="15"/>
  <c r="V14" i="15"/>
  <c r="V15" i="15"/>
  <c r="P44" i="14"/>
  <c r="T44" i="14"/>
  <c r="U44" i="14"/>
  <c r="Q46" i="14"/>
  <c r="S44" i="14"/>
  <c r="R44" i="14"/>
  <c r="R23" i="10"/>
  <c r="T23" i="10" s="1"/>
  <c r="Q23" i="10"/>
  <c r="S23" i="10" s="1"/>
  <c r="J25" i="10"/>
  <c r="F27" i="10"/>
  <c r="U26" i="10"/>
  <c r="V26" i="10" s="1"/>
  <c r="G26" i="10"/>
  <c r="H26" i="10" s="1"/>
  <c r="I26" i="10" s="1"/>
  <c r="K24" i="10"/>
  <c r="L24" i="10" s="1"/>
  <c r="M24" i="10" s="1"/>
  <c r="N24" i="10"/>
  <c r="O24" i="10" s="1"/>
  <c r="P24" i="10" s="1"/>
  <c r="BA42" i="14" l="1"/>
  <c r="AY42" i="14"/>
  <c r="AZ44" i="14"/>
  <c r="BD42" i="14"/>
  <c r="BB42" i="14"/>
  <c r="BC42" i="14"/>
  <c r="D44" i="7"/>
  <c r="H44" i="7"/>
  <c r="C46" i="7"/>
  <c r="E44" i="7"/>
  <c r="F44" i="7"/>
  <c r="B44" i="7"/>
  <c r="G44" i="7" s="1"/>
  <c r="J48" i="14"/>
  <c r="L46" i="14"/>
  <c r="N46" i="14"/>
  <c r="M46" i="14"/>
  <c r="K46" i="14"/>
  <c r="I46" i="14"/>
  <c r="W23" i="10"/>
  <c r="M44" i="7"/>
  <c r="L44" i="7"/>
  <c r="N44" i="7"/>
  <c r="K46" i="7"/>
  <c r="P44" i="7"/>
  <c r="J44" i="7"/>
  <c r="O44" i="7" s="1"/>
  <c r="AR101" i="7"/>
  <c r="AT101" i="7"/>
  <c r="AS101" i="7"/>
  <c r="AP101" i="7"/>
  <c r="AU101" i="7" s="1"/>
  <c r="AV101" i="7"/>
  <c r="AQ103" i="7"/>
  <c r="M111" i="7"/>
  <c r="J111" i="7"/>
  <c r="O111" i="7" s="1"/>
  <c r="L111" i="7"/>
  <c r="P111" i="7"/>
  <c r="N111" i="7"/>
  <c r="K113" i="7"/>
  <c r="BO40" i="14"/>
  <c r="BQ40" i="14"/>
  <c r="BP40" i="14"/>
  <c r="BM40" i="14"/>
  <c r="BR40" i="14"/>
  <c r="BN42" i="14"/>
  <c r="AV36" i="14"/>
  <c r="AU36" i="14"/>
  <c r="AR36" i="14"/>
  <c r="AS38" i="14"/>
  <c r="AW36" i="14"/>
  <c r="AT36" i="14"/>
  <c r="BF42" i="14"/>
  <c r="BJ42" i="14"/>
  <c r="BI42" i="14"/>
  <c r="BH42" i="14"/>
  <c r="BG44" i="14"/>
  <c r="BK42" i="14"/>
  <c r="AV36" i="7"/>
  <c r="AQ38" i="7"/>
  <c r="AR36" i="7"/>
  <c r="AS36" i="7"/>
  <c r="AP36" i="7"/>
  <c r="AU36" i="7" s="1"/>
  <c r="AT36" i="7"/>
  <c r="W42" i="14"/>
  <c r="AB42" i="14"/>
  <c r="Y42" i="14"/>
  <c r="Z42" i="14"/>
  <c r="X44" i="14"/>
  <c r="AA42" i="14"/>
  <c r="AA107" i="7"/>
  <c r="AC105" i="7"/>
  <c r="AF105" i="7"/>
  <c r="Z105" i="7"/>
  <c r="AE105" i="7" s="1"/>
  <c r="AB105" i="7"/>
  <c r="AD105" i="7"/>
  <c r="AD40" i="7"/>
  <c r="AB40" i="7"/>
  <c r="Z40" i="7"/>
  <c r="AE40" i="7" s="1"/>
  <c r="AA42" i="7"/>
  <c r="AF40" i="7"/>
  <c r="AC40" i="7"/>
  <c r="BW38" i="14"/>
  <c r="BT38" i="14"/>
  <c r="BV38" i="14"/>
  <c r="BU40" i="14"/>
  <c r="BX38" i="14"/>
  <c r="BY38" i="14"/>
  <c r="AO38" i="14"/>
  <c r="AM38" i="14"/>
  <c r="AK38" i="14"/>
  <c r="AN38" i="14"/>
  <c r="AL40" i="14"/>
  <c r="AP38" i="14"/>
  <c r="AN103" i="7"/>
  <c r="AK103" i="7"/>
  <c r="AI105" i="7"/>
  <c r="AH103" i="7"/>
  <c r="AM103" i="7" s="1"/>
  <c r="AJ103" i="7"/>
  <c r="AL103" i="7"/>
  <c r="CD36" i="14"/>
  <c r="CB38" i="14"/>
  <c r="CA36" i="14"/>
  <c r="CE36" i="14"/>
  <c r="CF36" i="14"/>
  <c r="CC36" i="14"/>
  <c r="D101" i="7"/>
  <c r="B101" i="7"/>
  <c r="G101" i="7" s="1"/>
  <c r="E101" i="7"/>
  <c r="F101" i="7"/>
  <c r="H101" i="7"/>
  <c r="C103" i="7"/>
  <c r="T42" i="7"/>
  <c r="U42" i="7"/>
  <c r="V42" i="7"/>
  <c r="R42" i="7"/>
  <c r="W42" i="7" s="1"/>
  <c r="X42" i="7"/>
  <c r="S44" i="7"/>
  <c r="V107" i="7"/>
  <c r="U107" i="7"/>
  <c r="T107" i="7"/>
  <c r="S109" i="7"/>
  <c r="R107" i="7"/>
  <c r="W107" i="7" s="1"/>
  <c r="X107" i="7"/>
  <c r="AI40" i="7"/>
  <c r="AN38" i="7"/>
  <c r="AJ38" i="7"/>
  <c r="AL38" i="7"/>
  <c r="AK38" i="7"/>
  <c r="AH38" i="7"/>
  <c r="AM38" i="7" s="1"/>
  <c r="AE42" i="14"/>
  <c r="AG40" i="14"/>
  <c r="AH40" i="14"/>
  <c r="AF40" i="14"/>
  <c r="AD40" i="14"/>
  <c r="AI40" i="14"/>
  <c r="J26" i="10"/>
  <c r="W14" i="15"/>
  <c r="W9" i="15"/>
  <c r="W5" i="15"/>
  <c r="W23" i="15"/>
  <c r="W18" i="15"/>
  <c r="W17" i="15"/>
  <c r="W10" i="15"/>
  <c r="W27" i="15"/>
  <c r="W7" i="15"/>
  <c r="W15" i="15"/>
  <c r="X6" i="15"/>
  <c r="W25" i="15"/>
  <c r="W11" i="15"/>
  <c r="W8" i="15"/>
  <c r="W22" i="15"/>
  <c r="W19" i="15"/>
  <c r="W20" i="15"/>
  <c r="W24" i="15"/>
  <c r="W26" i="15"/>
  <c r="W21" i="15"/>
  <c r="W16" i="15"/>
  <c r="W12" i="15"/>
  <c r="W13" i="15"/>
  <c r="P46" i="14"/>
  <c r="S46" i="14"/>
  <c r="R46" i="14"/>
  <c r="U46" i="14"/>
  <c r="T46" i="14"/>
  <c r="Q48" i="14"/>
  <c r="G46" i="14"/>
  <c r="F46" i="14"/>
  <c r="D46" i="14"/>
  <c r="C48" i="14"/>
  <c r="B46" i="14"/>
  <c r="E46" i="14"/>
  <c r="Q24" i="10"/>
  <c r="S24" i="10" s="1"/>
  <c r="R24" i="10"/>
  <c r="T24" i="10" s="1"/>
  <c r="G27" i="10"/>
  <c r="H27" i="10" s="1"/>
  <c r="I27" i="10" s="1"/>
  <c r="F28" i="10"/>
  <c r="U27" i="10"/>
  <c r="V27" i="10" s="1"/>
  <c r="N25" i="10"/>
  <c r="O25" i="10" s="1"/>
  <c r="P25" i="10" s="1"/>
  <c r="K25" i="10"/>
  <c r="L25" i="10" s="1"/>
  <c r="M25" i="10" s="1"/>
  <c r="BD44" i="14" l="1"/>
  <c r="BB44" i="14"/>
  <c r="BA44" i="14"/>
  <c r="BC44" i="14"/>
  <c r="AY44" i="14"/>
  <c r="AZ46" i="14"/>
  <c r="W24" i="10"/>
  <c r="H46" i="7"/>
  <c r="D46" i="7"/>
  <c r="C48" i="7"/>
  <c r="E46" i="7"/>
  <c r="B46" i="7"/>
  <c r="G46" i="7" s="1"/>
  <c r="F46" i="7"/>
  <c r="L48" i="14"/>
  <c r="M48" i="14"/>
  <c r="N48" i="14"/>
  <c r="I48" i="14"/>
  <c r="K48" i="14"/>
  <c r="J50" i="14"/>
  <c r="X44" i="7"/>
  <c r="R44" i="7"/>
  <c r="W44" i="7" s="1"/>
  <c r="U44" i="7"/>
  <c r="V44" i="7"/>
  <c r="S46" i="7"/>
  <c r="T44" i="7"/>
  <c r="CD38" i="14"/>
  <c r="CB40" i="14"/>
  <c r="CF38" i="14"/>
  <c r="CC38" i="14"/>
  <c r="CA38" i="14"/>
  <c r="CE38" i="14"/>
  <c r="BW40" i="14"/>
  <c r="BV40" i="14"/>
  <c r="BT40" i="14"/>
  <c r="BX40" i="14"/>
  <c r="BY40" i="14"/>
  <c r="BU42" i="14"/>
  <c r="BO42" i="14"/>
  <c r="BN44" i="14"/>
  <c r="BM42" i="14"/>
  <c r="BQ42" i="14"/>
  <c r="BP42" i="14"/>
  <c r="BR42" i="14"/>
  <c r="AM40" i="14"/>
  <c r="AN40" i="14"/>
  <c r="AP40" i="14"/>
  <c r="AK40" i="14"/>
  <c r="AO40" i="14"/>
  <c r="AL42" i="14"/>
  <c r="Z44" i="14"/>
  <c r="AB44" i="14"/>
  <c r="AA44" i="14"/>
  <c r="Y44" i="14"/>
  <c r="W44" i="14"/>
  <c r="X46" i="14"/>
  <c r="AV38" i="7"/>
  <c r="AR38" i="7"/>
  <c r="AP38" i="7"/>
  <c r="AU38" i="7" s="1"/>
  <c r="AQ40" i="7"/>
  <c r="AS38" i="7"/>
  <c r="AT38" i="7"/>
  <c r="AI42" i="7"/>
  <c r="AL40" i="7"/>
  <c r="AH40" i="7"/>
  <c r="AM40" i="7" s="1"/>
  <c r="AJ40" i="7"/>
  <c r="AN40" i="7"/>
  <c r="AK40" i="7"/>
  <c r="AU38" i="14"/>
  <c r="AW38" i="14"/>
  <c r="AT38" i="14"/>
  <c r="AR38" i="14"/>
  <c r="AS40" i="14"/>
  <c r="AV38" i="14"/>
  <c r="AR103" i="7"/>
  <c r="AT103" i="7"/>
  <c r="AV103" i="7"/>
  <c r="AP103" i="7"/>
  <c r="AU103" i="7" s="1"/>
  <c r="AS103" i="7"/>
  <c r="AQ105" i="7"/>
  <c r="N46" i="7"/>
  <c r="J46" i="7"/>
  <c r="O46" i="7" s="1"/>
  <c r="P46" i="7"/>
  <c r="K48" i="7"/>
  <c r="M46" i="7"/>
  <c r="L46" i="7"/>
  <c r="AD42" i="14"/>
  <c r="AG42" i="14"/>
  <c r="AE44" i="14"/>
  <c r="AI42" i="14"/>
  <c r="AH42" i="14"/>
  <c r="AF42" i="14"/>
  <c r="AJ105" i="7"/>
  <c r="AH105" i="7"/>
  <c r="AM105" i="7" s="1"/>
  <c r="AI107" i="7"/>
  <c r="AN105" i="7"/>
  <c r="AK105" i="7"/>
  <c r="AL105" i="7"/>
  <c r="BK44" i="14"/>
  <c r="BH44" i="14"/>
  <c r="BF44" i="14"/>
  <c r="BI44" i="14"/>
  <c r="BJ44" i="14"/>
  <c r="BG46" i="14"/>
  <c r="U109" i="7"/>
  <c r="X109" i="7"/>
  <c r="V109" i="7"/>
  <c r="T109" i="7"/>
  <c r="S111" i="7"/>
  <c r="R109" i="7"/>
  <c r="W109" i="7" s="1"/>
  <c r="B103" i="7"/>
  <c r="G103" i="7" s="1"/>
  <c r="C105" i="7"/>
  <c r="E103" i="7"/>
  <c r="F103" i="7"/>
  <c r="D103" i="7"/>
  <c r="H103" i="7"/>
  <c r="AD42" i="7"/>
  <c r="AC42" i="7"/>
  <c r="Z42" i="7"/>
  <c r="AE42" i="7" s="1"/>
  <c r="AB42" i="7"/>
  <c r="AA44" i="7"/>
  <c r="AF42" i="7"/>
  <c r="K115" i="7"/>
  <c r="P113" i="7"/>
  <c r="N113" i="7"/>
  <c r="L113" i="7"/>
  <c r="M113" i="7"/>
  <c r="J113" i="7"/>
  <c r="O113" i="7" s="1"/>
  <c r="Z107" i="7"/>
  <c r="AE107" i="7" s="1"/>
  <c r="AA109" i="7"/>
  <c r="AC107" i="7"/>
  <c r="AF107" i="7"/>
  <c r="AB107" i="7"/>
  <c r="AD107" i="7"/>
  <c r="S48" i="14"/>
  <c r="R48" i="14"/>
  <c r="P48" i="14"/>
  <c r="Q50" i="14"/>
  <c r="T48" i="14"/>
  <c r="U48" i="14"/>
  <c r="X19" i="15"/>
  <c r="X13" i="15"/>
  <c r="X15" i="15"/>
  <c r="X23" i="15"/>
  <c r="X9" i="15"/>
  <c r="X16" i="15"/>
  <c r="X25" i="15"/>
  <c r="X8" i="15"/>
  <c r="Y6" i="15"/>
  <c r="X17" i="15"/>
  <c r="X22" i="15"/>
  <c r="X24" i="15"/>
  <c r="X26" i="15"/>
  <c r="X12" i="15"/>
  <c r="X14" i="15"/>
  <c r="X27" i="15"/>
  <c r="X5" i="15"/>
  <c r="X21" i="15"/>
  <c r="X10" i="15"/>
  <c r="X20" i="15"/>
  <c r="X7" i="15"/>
  <c r="X11" i="15"/>
  <c r="X18" i="15"/>
  <c r="U28" i="10"/>
  <c r="V28" i="10" s="1"/>
  <c r="G28" i="10"/>
  <c r="H28" i="10" s="1"/>
  <c r="I28" i="10" s="1"/>
  <c r="F29" i="10"/>
  <c r="Q25" i="10"/>
  <c r="S25" i="10" s="1"/>
  <c r="R25" i="10"/>
  <c r="T25" i="10" s="1"/>
  <c r="J27" i="10"/>
  <c r="F48" i="14"/>
  <c r="C50" i="14"/>
  <c r="B48" i="14"/>
  <c r="E48" i="14"/>
  <c r="D48" i="14"/>
  <c r="G48" i="14"/>
  <c r="K26" i="10"/>
  <c r="L26" i="10" s="1"/>
  <c r="M26" i="10" s="1"/>
  <c r="N26" i="10"/>
  <c r="O26" i="10" s="1"/>
  <c r="P26" i="10" s="1"/>
  <c r="BA46" i="14" l="1"/>
  <c r="BC46" i="14"/>
  <c r="AY46" i="14"/>
  <c r="BB46" i="14"/>
  <c r="AZ48" i="14"/>
  <c r="BD46" i="14"/>
  <c r="D48" i="7"/>
  <c r="E48" i="7"/>
  <c r="H48" i="7"/>
  <c r="B48" i="7"/>
  <c r="G48" i="7" s="1"/>
  <c r="F48" i="7"/>
  <c r="C50" i="7"/>
  <c r="J52" i="14"/>
  <c r="M50" i="14"/>
  <c r="L50" i="14"/>
  <c r="K50" i="14"/>
  <c r="N50" i="14"/>
  <c r="I50" i="14"/>
  <c r="AV40" i="7"/>
  <c r="AS40" i="7"/>
  <c r="AQ42" i="7"/>
  <c r="AR40" i="7"/>
  <c r="AP40" i="7"/>
  <c r="AU40" i="7" s="1"/>
  <c r="AT40" i="7"/>
  <c r="CC40" i="14"/>
  <c r="CE40" i="14"/>
  <c r="CA40" i="14"/>
  <c r="CD40" i="14"/>
  <c r="CF40" i="14"/>
  <c r="CB42" i="14"/>
  <c r="T111" i="7"/>
  <c r="V111" i="7"/>
  <c r="R111" i="7"/>
  <c r="W111" i="7" s="1"/>
  <c r="S113" i="7"/>
  <c r="X111" i="7"/>
  <c r="U111" i="7"/>
  <c r="N48" i="7"/>
  <c r="K50" i="7"/>
  <c r="P48" i="7"/>
  <c r="L48" i="7"/>
  <c r="M48" i="7"/>
  <c r="J48" i="7"/>
  <c r="O48" i="7" s="1"/>
  <c r="AM42" i="14"/>
  <c r="AK42" i="14"/>
  <c r="AL44" i="14"/>
  <c r="AP42" i="14"/>
  <c r="AO42" i="14"/>
  <c r="AN42" i="14"/>
  <c r="N115" i="7"/>
  <c r="K117" i="7"/>
  <c r="M115" i="7"/>
  <c r="J115" i="7"/>
  <c r="O115" i="7" s="1"/>
  <c r="L115" i="7"/>
  <c r="P115" i="7"/>
  <c r="T46" i="7"/>
  <c r="U46" i="7"/>
  <c r="V46" i="7"/>
  <c r="S48" i="7"/>
  <c r="R46" i="7"/>
  <c r="W46" i="7" s="1"/>
  <c r="X46" i="7"/>
  <c r="AF109" i="7"/>
  <c r="AC109" i="7"/>
  <c r="Z109" i="7"/>
  <c r="AE109" i="7" s="1"/>
  <c r="AA111" i="7"/>
  <c r="AD109" i="7"/>
  <c r="AB109" i="7"/>
  <c r="Z46" i="14"/>
  <c r="X48" i="14"/>
  <c r="AA46" i="14"/>
  <c r="AB46" i="14"/>
  <c r="Y46" i="14"/>
  <c r="W46" i="14"/>
  <c r="BR44" i="14"/>
  <c r="BN46" i="14"/>
  <c r="BQ44" i="14"/>
  <c r="BO44" i="14"/>
  <c r="BP44" i="14"/>
  <c r="BM44" i="14"/>
  <c r="Z44" i="7"/>
  <c r="AE44" i="7" s="1"/>
  <c r="AC44" i="7"/>
  <c r="AD44" i="7"/>
  <c r="AF44" i="7"/>
  <c r="AA46" i="7"/>
  <c r="AB44" i="7"/>
  <c r="AF44" i="14"/>
  <c r="AI44" i="14"/>
  <c r="AD44" i="14"/>
  <c r="AE46" i="14"/>
  <c r="AH44" i="14"/>
  <c r="AG44" i="14"/>
  <c r="AR40" i="14"/>
  <c r="AT40" i="14"/>
  <c r="AW40" i="14"/>
  <c r="AU40" i="14"/>
  <c r="AV40" i="14"/>
  <c r="AS42" i="14"/>
  <c r="AL42" i="7"/>
  <c r="AJ42" i="7"/>
  <c r="AI44" i="7"/>
  <c r="AN42" i="7"/>
  <c r="AK42" i="7"/>
  <c r="AH42" i="7"/>
  <c r="AM42" i="7" s="1"/>
  <c r="F105" i="7"/>
  <c r="C107" i="7"/>
  <c r="E105" i="7"/>
  <c r="D105" i="7"/>
  <c r="H105" i="7"/>
  <c r="B105" i="7"/>
  <c r="G105" i="7" s="1"/>
  <c r="BG48" i="14"/>
  <c r="BH46" i="14"/>
  <c r="BI46" i="14"/>
  <c r="BF46" i="14"/>
  <c r="BK46" i="14"/>
  <c r="BJ46" i="14"/>
  <c r="AP105" i="7"/>
  <c r="AU105" i="7" s="1"/>
  <c r="AQ107" i="7"/>
  <c r="AT105" i="7"/>
  <c r="AS105" i="7"/>
  <c r="AR105" i="7"/>
  <c r="AV105" i="7"/>
  <c r="BW42" i="14"/>
  <c r="BV42" i="14"/>
  <c r="BT42" i="14"/>
  <c r="BY42" i="14"/>
  <c r="BU44" i="14"/>
  <c r="BX42" i="14"/>
  <c r="AI109" i="7"/>
  <c r="AH107" i="7"/>
  <c r="AM107" i="7" s="1"/>
  <c r="AK107" i="7"/>
  <c r="AN107" i="7"/>
  <c r="AL107" i="7"/>
  <c r="AJ107" i="7"/>
  <c r="R26" i="10"/>
  <c r="T26" i="10" s="1"/>
  <c r="Q26" i="10"/>
  <c r="S26" i="10" s="1"/>
  <c r="W26" i="10" s="1"/>
  <c r="E50" i="14"/>
  <c r="C52" i="14"/>
  <c r="D50" i="14"/>
  <c r="B50" i="14"/>
  <c r="G50" i="14"/>
  <c r="F50" i="14"/>
  <c r="U29" i="10"/>
  <c r="V29" i="10" s="1"/>
  <c r="G29" i="10"/>
  <c r="H29" i="10" s="1"/>
  <c r="I29" i="10" s="1"/>
  <c r="F30" i="10"/>
  <c r="J28" i="10"/>
  <c r="R50" i="14"/>
  <c r="P50" i="14"/>
  <c r="Q52" i="14"/>
  <c r="U50" i="14"/>
  <c r="T50" i="14"/>
  <c r="S50" i="14"/>
  <c r="N27" i="10"/>
  <c r="O27" i="10" s="1"/>
  <c r="P27" i="10" s="1"/>
  <c r="K27" i="10"/>
  <c r="L27" i="10" s="1"/>
  <c r="M27" i="10" s="1"/>
  <c r="Y22" i="15"/>
  <c r="Y18" i="15"/>
  <c r="Y11" i="15"/>
  <c r="Y9" i="15"/>
  <c r="Y13" i="15"/>
  <c r="Y7" i="15"/>
  <c r="Y26" i="15"/>
  <c r="Z6" i="15"/>
  <c r="Y27" i="15"/>
  <c r="Y14" i="15"/>
  <c r="Y24" i="15"/>
  <c r="Y17" i="15"/>
  <c r="Y19" i="15"/>
  <c r="Y15" i="15"/>
  <c r="Y10" i="15"/>
  <c r="Y5" i="15"/>
  <c r="Y12" i="15"/>
  <c r="Y23" i="15"/>
  <c r="Y21" i="15"/>
  <c r="Y8" i="15"/>
  <c r="Y16" i="15"/>
  <c r="Y25" i="15"/>
  <c r="Y20" i="15"/>
  <c r="W25" i="10"/>
  <c r="BB48" i="14" l="1"/>
  <c r="BD48" i="14"/>
  <c r="AZ50" i="14"/>
  <c r="BA48" i="14"/>
  <c r="BC48" i="14"/>
  <c r="AY48" i="14"/>
  <c r="B50" i="7"/>
  <c r="G50" i="7" s="1"/>
  <c r="C52" i="7"/>
  <c r="H50" i="7"/>
  <c r="E50" i="7"/>
  <c r="D50" i="7"/>
  <c r="F50" i="7"/>
  <c r="N52" i="14"/>
  <c r="L52" i="14"/>
  <c r="J54" i="14"/>
  <c r="M52" i="14"/>
  <c r="K52" i="14"/>
  <c r="I52" i="14"/>
  <c r="AS107" i="7"/>
  <c r="AV107" i="7"/>
  <c r="AP107" i="7"/>
  <c r="AU107" i="7" s="1"/>
  <c r="AR107" i="7"/>
  <c r="AQ109" i="7"/>
  <c r="AT107" i="7"/>
  <c r="W48" i="14"/>
  <c r="AA48" i="14"/>
  <c r="Z48" i="14"/>
  <c r="AB48" i="14"/>
  <c r="X50" i="14"/>
  <c r="Y48" i="14"/>
  <c r="S115" i="7"/>
  <c r="X113" i="7"/>
  <c r="R113" i="7"/>
  <c r="W113" i="7" s="1"/>
  <c r="U113" i="7"/>
  <c r="T113" i="7"/>
  <c r="V113" i="7"/>
  <c r="AJ44" i="7"/>
  <c r="AH44" i="7"/>
  <c r="AM44" i="7" s="1"/>
  <c r="AN44" i="7"/>
  <c r="AL44" i="7"/>
  <c r="AK44" i="7"/>
  <c r="AI46" i="7"/>
  <c r="AD46" i="7"/>
  <c r="AF46" i="7"/>
  <c r="Z46" i="7"/>
  <c r="AE46" i="7" s="1"/>
  <c r="AB46" i="7"/>
  <c r="AC46" i="7"/>
  <c r="AA48" i="7"/>
  <c r="BN48" i="14"/>
  <c r="BR46" i="14"/>
  <c r="BM46" i="14"/>
  <c r="BQ46" i="14"/>
  <c r="BP46" i="14"/>
  <c r="BO46" i="14"/>
  <c r="U48" i="7"/>
  <c r="S50" i="7"/>
  <c r="V48" i="7"/>
  <c r="R48" i="7"/>
  <c r="W48" i="7" s="1"/>
  <c r="X48" i="7"/>
  <c r="T48" i="7"/>
  <c r="N117" i="7"/>
  <c r="P117" i="7"/>
  <c r="M117" i="7"/>
  <c r="J117" i="7"/>
  <c r="O117" i="7" s="1"/>
  <c r="K119" i="7"/>
  <c r="L117" i="7"/>
  <c r="D107" i="7"/>
  <c r="H107" i="7"/>
  <c r="F107" i="7"/>
  <c r="E107" i="7"/>
  <c r="C109" i="7"/>
  <c r="B107" i="7"/>
  <c r="G107" i="7" s="1"/>
  <c r="AU42" i="14"/>
  <c r="AW42" i="14"/>
  <c r="AT42" i="14"/>
  <c r="AS44" i="14"/>
  <c r="AV42" i="14"/>
  <c r="AR42" i="14"/>
  <c r="AE48" i="14"/>
  <c r="AI46" i="14"/>
  <c r="AG46" i="14"/>
  <c r="AF46" i="14"/>
  <c r="AD46" i="14"/>
  <c r="AH46" i="14"/>
  <c r="AA113" i="7"/>
  <c r="Z111" i="7"/>
  <c r="AE111" i="7" s="1"/>
  <c r="AF111" i="7"/>
  <c r="AC111" i="7"/>
  <c r="AD111" i="7"/>
  <c r="AB111" i="7"/>
  <c r="N50" i="7"/>
  <c r="P50" i="7"/>
  <c r="L50" i="7"/>
  <c r="K52" i="7"/>
  <c r="M50" i="7"/>
  <c r="J50" i="7"/>
  <c r="O50" i="7" s="1"/>
  <c r="CB44" i="14"/>
  <c r="CF42" i="14"/>
  <c r="CE42" i="14"/>
  <c r="CC42" i="14"/>
  <c r="CD42" i="14"/>
  <c r="CA42" i="14"/>
  <c r="AH109" i="7"/>
  <c r="AM109" i="7" s="1"/>
  <c r="AK109" i="7"/>
  <c r="AN109" i="7"/>
  <c r="AL109" i="7"/>
  <c r="AJ109" i="7"/>
  <c r="AI111" i="7"/>
  <c r="AS42" i="7"/>
  <c r="AR42" i="7"/>
  <c r="AT42" i="7"/>
  <c r="AV42" i="7"/>
  <c r="AQ44" i="7"/>
  <c r="AP42" i="7"/>
  <c r="AU42" i="7" s="1"/>
  <c r="BX44" i="14"/>
  <c r="BV44" i="14"/>
  <c r="BT44" i="14"/>
  <c r="BU46" i="14"/>
  <c r="BY44" i="14"/>
  <c r="BW44" i="14"/>
  <c r="BK48" i="14"/>
  <c r="BJ48" i="14"/>
  <c r="BH48" i="14"/>
  <c r="BG50" i="14"/>
  <c r="BF48" i="14"/>
  <c r="BI48" i="14"/>
  <c r="AP44" i="14"/>
  <c r="AL46" i="14"/>
  <c r="AO44" i="14"/>
  <c r="AK44" i="14"/>
  <c r="AN44" i="14"/>
  <c r="AM44" i="14"/>
  <c r="J29" i="10"/>
  <c r="K28" i="10"/>
  <c r="L28" i="10" s="1"/>
  <c r="M28" i="10" s="1"/>
  <c r="N28" i="10"/>
  <c r="O28" i="10" s="1"/>
  <c r="P28" i="10" s="1"/>
  <c r="Z20" i="15"/>
  <c r="Z12" i="15"/>
  <c r="Z23" i="15"/>
  <c r="Z21" i="15"/>
  <c r="Z16" i="15"/>
  <c r="Z10" i="15"/>
  <c r="Z27" i="15"/>
  <c r="Z15" i="15"/>
  <c r="Z24" i="15"/>
  <c r="AA6" i="15"/>
  <c r="Z14" i="15"/>
  <c r="Z18" i="15"/>
  <c r="Z22" i="15"/>
  <c r="Z8" i="15"/>
  <c r="Z11" i="15"/>
  <c r="Z7" i="15"/>
  <c r="Z9" i="15"/>
  <c r="Z19" i="15"/>
  <c r="Z13" i="15"/>
  <c r="Z26" i="15"/>
  <c r="Z17" i="15"/>
  <c r="Z5" i="15"/>
  <c r="Z25" i="15"/>
  <c r="R52" i="14"/>
  <c r="P52" i="14"/>
  <c r="Q54" i="14"/>
  <c r="T52" i="14"/>
  <c r="S52" i="14"/>
  <c r="U52" i="14"/>
  <c r="Q27" i="10"/>
  <c r="S27" i="10" s="1"/>
  <c r="R27" i="10"/>
  <c r="T27" i="10" s="1"/>
  <c r="F52" i="14"/>
  <c r="C54" i="14"/>
  <c r="G52" i="14"/>
  <c r="D52" i="14"/>
  <c r="E52" i="14"/>
  <c r="B52" i="14"/>
  <c r="U30" i="10"/>
  <c r="V30" i="10" s="1"/>
  <c r="G30" i="10"/>
  <c r="H30" i="10" s="1"/>
  <c r="I30" i="10" s="1"/>
  <c r="F31" i="10"/>
  <c r="BC50" i="14" l="1"/>
  <c r="BB50" i="14"/>
  <c r="AZ52" i="14"/>
  <c r="BA50" i="14"/>
  <c r="AY50" i="14"/>
  <c r="BD50" i="14"/>
  <c r="B52" i="7"/>
  <c r="G52" i="7" s="1"/>
  <c r="C54" i="7"/>
  <c r="F52" i="7"/>
  <c r="H52" i="7"/>
  <c r="E52" i="7"/>
  <c r="D52" i="7"/>
  <c r="M54" i="14"/>
  <c r="L54" i="14"/>
  <c r="K54" i="14"/>
  <c r="J56" i="14"/>
  <c r="N54" i="14"/>
  <c r="I54" i="14"/>
  <c r="W27" i="10"/>
  <c r="AJ46" i="7"/>
  <c r="AH46" i="7"/>
  <c r="AM46" i="7" s="1"/>
  <c r="AI48" i="7"/>
  <c r="AL46" i="7"/>
  <c r="AK46" i="7"/>
  <c r="AN46" i="7"/>
  <c r="AS44" i="7"/>
  <c r="AP44" i="7"/>
  <c r="AU44" i="7" s="1"/>
  <c r="AT44" i="7"/>
  <c r="AR44" i="7"/>
  <c r="AV44" i="7"/>
  <c r="AQ46" i="7"/>
  <c r="CE44" i="14"/>
  <c r="CB46" i="14"/>
  <c r="CC44" i="14"/>
  <c r="CA44" i="14"/>
  <c r="CF44" i="14"/>
  <c r="CD44" i="14"/>
  <c r="N119" i="7"/>
  <c r="L119" i="7"/>
  <c r="M119" i="7"/>
  <c r="K121" i="7"/>
  <c r="J119" i="7"/>
  <c r="O119" i="7" s="1"/>
  <c r="P119" i="7"/>
  <c r="BR48" i="14"/>
  <c r="BM48" i="14"/>
  <c r="BO48" i="14"/>
  <c r="BP48" i="14"/>
  <c r="BQ48" i="14"/>
  <c r="BN50" i="14"/>
  <c r="BI50" i="14"/>
  <c r="BF50" i="14"/>
  <c r="BH50" i="14"/>
  <c r="BK50" i="14"/>
  <c r="BG52" i="14"/>
  <c r="BJ50" i="14"/>
  <c r="U50" i="7"/>
  <c r="V50" i="7"/>
  <c r="X50" i="7"/>
  <c r="T50" i="7"/>
  <c r="S52" i="7"/>
  <c r="R50" i="7"/>
  <c r="W50" i="7" s="1"/>
  <c r="AB48" i="7"/>
  <c r="AF48" i="7"/>
  <c r="AC48" i="7"/>
  <c r="AA50" i="7"/>
  <c r="Z48" i="7"/>
  <c r="AE48" i="7" s="1"/>
  <c r="AD48" i="7"/>
  <c r="AH48" i="14"/>
  <c r="AG48" i="14"/>
  <c r="AE50" i="14"/>
  <c r="AF48" i="14"/>
  <c r="AI48" i="14"/>
  <c r="AD48" i="14"/>
  <c r="E109" i="7"/>
  <c r="D109" i="7"/>
  <c r="B109" i="7"/>
  <c r="G109" i="7" s="1"/>
  <c r="C111" i="7"/>
  <c r="H109" i="7"/>
  <c r="F109" i="7"/>
  <c r="X115" i="7"/>
  <c r="T115" i="7"/>
  <c r="V115" i="7"/>
  <c r="R115" i="7"/>
  <c r="W115" i="7" s="1"/>
  <c r="U115" i="7"/>
  <c r="S117" i="7"/>
  <c r="AS109" i="7"/>
  <c r="AT109" i="7"/>
  <c r="AP109" i="7"/>
  <c r="AU109" i="7" s="1"/>
  <c r="AV109" i="7"/>
  <c r="AR109" i="7"/>
  <c r="AQ111" i="7"/>
  <c r="AN46" i="14"/>
  <c r="AM46" i="14"/>
  <c r="AP46" i="14"/>
  <c r="AK46" i="14"/>
  <c r="AL48" i="14"/>
  <c r="AO46" i="14"/>
  <c r="N52" i="7"/>
  <c r="P52" i="7"/>
  <c r="L52" i="7"/>
  <c r="J52" i="7"/>
  <c r="O52" i="7" s="1"/>
  <c r="M52" i="7"/>
  <c r="K54" i="7"/>
  <c r="AF113" i="7"/>
  <c r="AC113" i="7"/>
  <c r="AA115" i="7"/>
  <c r="Z113" i="7"/>
  <c r="AE113" i="7" s="1"/>
  <c r="AB113" i="7"/>
  <c r="AD113" i="7"/>
  <c r="AA50" i="14"/>
  <c r="W50" i="14"/>
  <c r="Y50" i="14"/>
  <c r="X52" i="14"/>
  <c r="Z50" i="14"/>
  <c r="AB50" i="14"/>
  <c r="BV46" i="14"/>
  <c r="BT46" i="14"/>
  <c r="BY46" i="14"/>
  <c r="BX46" i="14"/>
  <c r="BW46" i="14"/>
  <c r="BU48" i="14"/>
  <c r="AK111" i="7"/>
  <c r="AH111" i="7"/>
  <c r="AM111" i="7" s="1"/>
  <c r="AJ111" i="7"/>
  <c r="AN111" i="7"/>
  <c r="AL111" i="7"/>
  <c r="AI113" i="7"/>
  <c r="AR44" i="14"/>
  <c r="AU44" i="14"/>
  <c r="AW44" i="14"/>
  <c r="AV44" i="14"/>
  <c r="AT44" i="14"/>
  <c r="AS46" i="14"/>
  <c r="K29" i="10"/>
  <c r="L29" i="10" s="1"/>
  <c r="M29" i="10" s="1"/>
  <c r="N29" i="10"/>
  <c r="O29" i="10" s="1"/>
  <c r="P29" i="10" s="1"/>
  <c r="D54" i="14"/>
  <c r="G54" i="14"/>
  <c r="B54" i="14"/>
  <c r="F54" i="14"/>
  <c r="C56" i="14"/>
  <c r="E54" i="14"/>
  <c r="Q56" i="14"/>
  <c r="R54" i="14"/>
  <c r="P54" i="14"/>
  <c r="U54" i="14"/>
  <c r="T54" i="14"/>
  <c r="S54" i="14"/>
  <c r="AA17" i="15"/>
  <c r="AA12" i="15"/>
  <c r="AA8" i="15"/>
  <c r="AA19" i="15"/>
  <c r="AA23" i="15"/>
  <c r="AA11" i="15"/>
  <c r="AA10" i="15"/>
  <c r="AA15" i="15"/>
  <c r="AA20" i="15"/>
  <c r="AA18" i="15"/>
  <c r="AA14" i="15"/>
  <c r="AA24" i="15"/>
  <c r="AA9" i="15"/>
  <c r="AA13" i="15"/>
  <c r="AA21" i="15"/>
  <c r="AA26" i="15"/>
  <c r="AB6" i="15"/>
  <c r="AA25" i="15"/>
  <c r="AA27" i="15"/>
  <c r="AA22" i="15"/>
  <c r="AA7" i="15"/>
  <c r="AA5" i="15"/>
  <c r="AA16" i="15"/>
  <c r="R28" i="10"/>
  <c r="T28" i="10" s="1"/>
  <c r="Q28" i="10"/>
  <c r="S28" i="10" s="1"/>
  <c r="W28" i="10" s="1"/>
  <c r="U31" i="10"/>
  <c r="V31" i="10" s="1"/>
  <c r="F32" i="10"/>
  <c r="G31" i="10"/>
  <c r="H31" i="10" s="1"/>
  <c r="I31" i="10" s="1"/>
  <c r="J30" i="10"/>
  <c r="AY52" i="14" l="1"/>
  <c r="AZ54" i="14"/>
  <c r="BD52" i="14"/>
  <c r="BB52" i="14"/>
  <c r="BA52" i="14"/>
  <c r="BC52" i="14"/>
  <c r="B54" i="7"/>
  <c r="G54" i="7" s="1"/>
  <c r="F54" i="7"/>
  <c r="E54" i="7"/>
  <c r="H54" i="7"/>
  <c r="C56" i="7"/>
  <c r="D54" i="7"/>
  <c r="M56" i="14"/>
  <c r="L56" i="14"/>
  <c r="I56" i="14"/>
  <c r="K56" i="14"/>
  <c r="N56" i="14"/>
  <c r="J58" i="14"/>
  <c r="AV46" i="14"/>
  <c r="AT46" i="14"/>
  <c r="AS48" i="14"/>
  <c r="AR46" i="14"/>
  <c r="AW46" i="14"/>
  <c r="AU46" i="14"/>
  <c r="AP111" i="7"/>
  <c r="AU111" i="7" s="1"/>
  <c r="AT111" i="7"/>
  <c r="AR111" i="7"/>
  <c r="AV111" i="7"/>
  <c r="AQ113" i="7"/>
  <c r="AS111" i="7"/>
  <c r="AD50" i="7"/>
  <c r="AB50" i="7"/>
  <c r="Z50" i="7"/>
  <c r="AE50" i="7" s="1"/>
  <c r="AC50" i="7"/>
  <c r="AA52" i="7"/>
  <c r="AF50" i="7"/>
  <c r="BO50" i="14"/>
  <c r="BM50" i="14"/>
  <c r="BN52" i="14"/>
  <c r="BP50" i="14"/>
  <c r="BR50" i="14"/>
  <c r="BQ50" i="14"/>
  <c r="M121" i="7"/>
  <c r="J121" i="7"/>
  <c r="O121" i="7" s="1"/>
  <c r="L121" i="7"/>
  <c r="P121" i="7"/>
  <c r="K123" i="7"/>
  <c r="N121" i="7"/>
  <c r="CA46" i="14"/>
  <c r="CD46" i="14"/>
  <c r="CF46" i="14"/>
  <c r="CB48" i="14"/>
  <c r="CC46" i="14"/>
  <c r="CE46" i="14"/>
  <c r="AF115" i="7"/>
  <c r="AA117" i="7"/>
  <c r="Z115" i="7"/>
  <c r="AE115" i="7" s="1"/>
  <c r="AC115" i="7"/>
  <c r="AD115" i="7"/>
  <c r="AB115" i="7"/>
  <c r="AM48" i="14"/>
  <c r="AK48" i="14"/>
  <c r="AO48" i="14"/>
  <c r="AN48" i="14"/>
  <c r="AL50" i="14"/>
  <c r="AP48" i="14"/>
  <c r="BV48" i="14"/>
  <c r="BU50" i="14"/>
  <c r="BY48" i="14"/>
  <c r="BW48" i="14"/>
  <c r="BX48" i="14"/>
  <c r="BT48" i="14"/>
  <c r="X54" i="14"/>
  <c r="Y52" i="14"/>
  <c r="W52" i="14"/>
  <c r="AB52" i="14"/>
  <c r="AA52" i="14"/>
  <c r="Z52" i="14"/>
  <c r="AT46" i="7"/>
  <c r="AQ48" i="7"/>
  <c r="AR46" i="7"/>
  <c r="AP46" i="7"/>
  <c r="AU46" i="7" s="1"/>
  <c r="AS46" i="7"/>
  <c r="AV46" i="7"/>
  <c r="AI50" i="14"/>
  <c r="AE52" i="14"/>
  <c r="AG50" i="14"/>
  <c r="AD50" i="14"/>
  <c r="AH50" i="14"/>
  <c r="AF50" i="14"/>
  <c r="BG54" i="14"/>
  <c r="BF52" i="14"/>
  <c r="BH52" i="14"/>
  <c r="BI52" i="14"/>
  <c r="BK52" i="14"/>
  <c r="BJ52" i="14"/>
  <c r="AK48" i="7"/>
  <c r="AL48" i="7"/>
  <c r="AH48" i="7"/>
  <c r="AM48" i="7" s="1"/>
  <c r="AI50" i="7"/>
  <c r="AN48" i="7"/>
  <c r="AJ48" i="7"/>
  <c r="AN113" i="7"/>
  <c r="AJ113" i="7"/>
  <c r="AK113" i="7"/>
  <c r="AL113" i="7"/>
  <c r="AH113" i="7"/>
  <c r="AM113" i="7" s="1"/>
  <c r="AI115" i="7"/>
  <c r="J54" i="7"/>
  <c r="O54" i="7" s="1"/>
  <c r="M54" i="7"/>
  <c r="L54" i="7"/>
  <c r="N54" i="7"/>
  <c r="K56" i="7"/>
  <c r="P54" i="7"/>
  <c r="X117" i="7"/>
  <c r="V117" i="7"/>
  <c r="S119" i="7"/>
  <c r="U117" i="7"/>
  <c r="T117" i="7"/>
  <c r="R117" i="7"/>
  <c r="W117" i="7" s="1"/>
  <c r="H111" i="7"/>
  <c r="B111" i="7"/>
  <c r="G111" i="7" s="1"/>
  <c r="C113" i="7"/>
  <c r="F111" i="7"/>
  <c r="D111" i="7"/>
  <c r="E111" i="7"/>
  <c r="S54" i="7"/>
  <c r="R52" i="7"/>
  <c r="W52" i="7" s="1"/>
  <c r="V52" i="7"/>
  <c r="T52" i="7"/>
  <c r="X52" i="7"/>
  <c r="U52" i="7"/>
  <c r="F56" i="14"/>
  <c r="D56" i="14"/>
  <c r="E56" i="14"/>
  <c r="B56" i="14"/>
  <c r="C58" i="14"/>
  <c r="G56" i="14"/>
  <c r="N30" i="10"/>
  <c r="O30" i="10" s="1"/>
  <c r="P30" i="10" s="1"/>
  <c r="K30" i="10"/>
  <c r="L30" i="10" s="1"/>
  <c r="M30" i="10" s="1"/>
  <c r="F33" i="10"/>
  <c r="U32" i="10"/>
  <c r="V32" i="10" s="1"/>
  <c r="G32" i="10"/>
  <c r="H32" i="10" s="1"/>
  <c r="I32" i="10" s="1"/>
  <c r="U56" i="14"/>
  <c r="S56" i="14"/>
  <c r="R56" i="14"/>
  <c r="P56" i="14"/>
  <c r="T56" i="14"/>
  <c r="Q58" i="14"/>
  <c r="J31" i="10"/>
  <c r="AB23" i="15"/>
  <c r="AB13" i="15"/>
  <c r="AB12" i="15"/>
  <c r="AB21" i="15"/>
  <c r="AB18" i="15"/>
  <c r="AB20" i="15"/>
  <c r="AB17" i="15"/>
  <c r="AB15" i="15"/>
  <c r="AB5" i="15"/>
  <c r="AC6" i="15"/>
  <c r="AB16" i="15"/>
  <c r="AB9" i="15"/>
  <c r="AB8" i="15"/>
  <c r="AB27" i="15"/>
  <c r="AB19" i="15"/>
  <c r="AB24" i="15"/>
  <c r="AB22" i="15"/>
  <c r="AB25" i="15"/>
  <c r="AB11" i="15"/>
  <c r="AB7" i="15"/>
  <c r="AB10" i="15"/>
  <c r="AB14" i="15"/>
  <c r="AB26" i="15"/>
  <c r="Q29" i="10"/>
  <c r="S29" i="10" s="1"/>
  <c r="W29" i="10" s="1"/>
  <c r="R29" i="10"/>
  <c r="T29" i="10" s="1"/>
  <c r="BA54" i="14" l="1"/>
  <c r="BB54" i="14"/>
  <c r="AZ56" i="14"/>
  <c r="AY54" i="14"/>
  <c r="BD54" i="14"/>
  <c r="BC54" i="14"/>
  <c r="D56" i="7"/>
  <c r="H56" i="7"/>
  <c r="C58" i="7"/>
  <c r="B56" i="7"/>
  <c r="G56" i="7" s="1"/>
  <c r="E56" i="7"/>
  <c r="F56" i="7"/>
  <c r="I58" i="14"/>
  <c r="J60" i="14"/>
  <c r="N58" i="14"/>
  <c r="L58" i="14"/>
  <c r="K58" i="14"/>
  <c r="M58" i="14"/>
  <c r="AK115" i="7"/>
  <c r="AL115" i="7"/>
  <c r="AJ115" i="7"/>
  <c r="AI117" i="7"/>
  <c r="AN115" i="7"/>
  <c r="AH115" i="7"/>
  <c r="AM115" i="7" s="1"/>
  <c r="AL50" i="7"/>
  <c r="AN50" i="7"/>
  <c r="AJ50" i="7"/>
  <c r="AI52" i="7"/>
  <c r="AK50" i="7"/>
  <c r="AH50" i="7"/>
  <c r="AM50" i="7" s="1"/>
  <c r="D113" i="7"/>
  <c r="H113" i="7"/>
  <c r="C115" i="7"/>
  <c r="E113" i="7"/>
  <c r="B113" i="7"/>
  <c r="G113" i="7" s="1"/>
  <c r="F113" i="7"/>
  <c r="BH54" i="14"/>
  <c r="BF54" i="14"/>
  <c r="BJ54" i="14"/>
  <c r="BK54" i="14"/>
  <c r="BI54" i="14"/>
  <c r="BG56" i="14"/>
  <c r="Y54" i="14"/>
  <c r="AA54" i="14"/>
  <c r="X56" i="14"/>
  <c r="W54" i="14"/>
  <c r="AB54" i="14"/>
  <c r="Z54" i="14"/>
  <c r="AM50" i="14"/>
  <c r="AP50" i="14"/>
  <c r="AL52" i="14"/>
  <c r="AN50" i="14"/>
  <c r="AO50" i="14"/>
  <c r="AK50" i="14"/>
  <c r="AV48" i="7"/>
  <c r="AQ50" i="7"/>
  <c r="AS48" i="7"/>
  <c r="AR48" i="7"/>
  <c r="AT48" i="7"/>
  <c r="AP48" i="7"/>
  <c r="AU48" i="7" s="1"/>
  <c r="AD117" i="7"/>
  <c r="AC117" i="7"/>
  <c r="Z117" i="7"/>
  <c r="AE117" i="7" s="1"/>
  <c r="AA119" i="7"/>
  <c r="AB117" i="7"/>
  <c r="AF117" i="7"/>
  <c r="K58" i="7"/>
  <c r="N56" i="7"/>
  <c r="M56" i="7"/>
  <c r="L56" i="7"/>
  <c r="J56" i="7"/>
  <c r="O56" i="7" s="1"/>
  <c r="P56" i="7"/>
  <c r="L123" i="7"/>
  <c r="N123" i="7"/>
  <c r="M123" i="7"/>
  <c r="J123" i="7"/>
  <c r="O123" i="7" s="1"/>
  <c r="K125" i="7"/>
  <c r="P123" i="7"/>
  <c r="BM52" i="14"/>
  <c r="BP52" i="14"/>
  <c r="BN54" i="14"/>
  <c r="BO52" i="14"/>
  <c r="BR52" i="14"/>
  <c r="BQ52" i="14"/>
  <c r="R54" i="7"/>
  <c r="W54" i="7" s="1"/>
  <c r="U54" i="7"/>
  <c r="V54" i="7"/>
  <c r="T54" i="7"/>
  <c r="S56" i="7"/>
  <c r="X54" i="7"/>
  <c r="AP113" i="7"/>
  <c r="AU113" i="7" s="1"/>
  <c r="AV113" i="7"/>
  <c r="AT113" i="7"/>
  <c r="AQ115" i="7"/>
  <c r="AS113" i="7"/>
  <c r="AR113" i="7"/>
  <c r="AS50" i="14"/>
  <c r="AT48" i="14"/>
  <c r="AW48" i="14"/>
  <c r="AV48" i="14"/>
  <c r="AU48" i="14"/>
  <c r="AR48" i="14"/>
  <c r="AD52" i="14"/>
  <c r="AG52" i="14"/>
  <c r="AI52" i="14"/>
  <c r="AH52" i="14"/>
  <c r="AE54" i="14"/>
  <c r="AF52" i="14"/>
  <c r="BW50" i="14"/>
  <c r="BV50" i="14"/>
  <c r="BT50" i="14"/>
  <c r="BU52" i="14"/>
  <c r="BY50" i="14"/>
  <c r="BX50" i="14"/>
  <c r="CB50" i="14"/>
  <c r="CF48" i="14"/>
  <c r="CE48" i="14"/>
  <c r="CC48" i="14"/>
  <c r="CD48" i="14"/>
  <c r="CA48" i="14"/>
  <c r="U119" i="7"/>
  <c r="X119" i="7"/>
  <c r="R119" i="7"/>
  <c r="W119" i="7" s="1"/>
  <c r="T119" i="7"/>
  <c r="S121" i="7"/>
  <c r="V119" i="7"/>
  <c r="Z52" i="7"/>
  <c r="AE52" i="7" s="1"/>
  <c r="AA54" i="7"/>
  <c r="AF52" i="7"/>
  <c r="AB52" i="7"/>
  <c r="AC52" i="7"/>
  <c r="AD52" i="7"/>
  <c r="AC13" i="15"/>
  <c r="AC17" i="15"/>
  <c r="AC9" i="15"/>
  <c r="AC16" i="15"/>
  <c r="AC12" i="15"/>
  <c r="AC25" i="15"/>
  <c r="AC8" i="15"/>
  <c r="AC22" i="15"/>
  <c r="AD6" i="15"/>
  <c r="AC19" i="15"/>
  <c r="AC27" i="15"/>
  <c r="AC26" i="15"/>
  <c r="AC15" i="15"/>
  <c r="AC23" i="15"/>
  <c r="AC11" i="15"/>
  <c r="AC7" i="15"/>
  <c r="AC21" i="15"/>
  <c r="AC5" i="15"/>
  <c r="AC18" i="15"/>
  <c r="AC10" i="15"/>
  <c r="AC14" i="15"/>
  <c r="AC24" i="15"/>
  <c r="AC20" i="15"/>
  <c r="J32" i="10"/>
  <c r="C60" i="14"/>
  <c r="G58" i="14"/>
  <c r="D58" i="14"/>
  <c r="B58" i="14"/>
  <c r="F58" i="14"/>
  <c r="E58" i="14"/>
  <c r="T58" i="14"/>
  <c r="S58" i="14"/>
  <c r="R58" i="14"/>
  <c r="P58" i="14"/>
  <c r="Q60" i="14"/>
  <c r="U58" i="14"/>
  <c r="U33" i="10"/>
  <c r="V33" i="10" s="1"/>
  <c r="G33" i="10"/>
  <c r="H33" i="10" s="1"/>
  <c r="I33" i="10" s="1"/>
  <c r="F34" i="10"/>
  <c r="K31" i="10"/>
  <c r="L31" i="10" s="1"/>
  <c r="M31" i="10" s="1"/>
  <c r="N31" i="10"/>
  <c r="O31" i="10" s="1"/>
  <c r="P31" i="10" s="1"/>
  <c r="R30" i="10"/>
  <c r="T30" i="10" s="1"/>
  <c r="Q30" i="10"/>
  <c r="S30" i="10" s="1"/>
  <c r="W30" i="10" s="1"/>
  <c r="AY56" i="14" l="1"/>
  <c r="BC56" i="14"/>
  <c r="AZ58" i="14"/>
  <c r="BB56" i="14"/>
  <c r="BD56" i="14"/>
  <c r="BA56" i="14"/>
  <c r="E58" i="7"/>
  <c r="B58" i="7"/>
  <c r="G58" i="7" s="1"/>
  <c r="H58" i="7"/>
  <c r="F58" i="7"/>
  <c r="C60" i="7"/>
  <c r="D58" i="7"/>
  <c r="L60" i="14"/>
  <c r="J62" i="14"/>
  <c r="I60" i="14"/>
  <c r="N60" i="14"/>
  <c r="K60" i="14"/>
  <c r="M60" i="14"/>
  <c r="BH56" i="14"/>
  <c r="BG58" i="14"/>
  <c r="BF56" i="14"/>
  <c r="BI56" i="14"/>
  <c r="BK56" i="14"/>
  <c r="BJ56" i="14"/>
  <c r="CE50" i="14"/>
  <c r="CD50" i="14"/>
  <c r="CA50" i="14"/>
  <c r="CC50" i="14"/>
  <c r="CB52" i="14"/>
  <c r="CF50" i="14"/>
  <c r="AD54" i="14"/>
  <c r="AG54" i="14"/>
  <c r="AI54" i="14"/>
  <c r="AH54" i="14"/>
  <c r="AE56" i="14"/>
  <c r="AF54" i="14"/>
  <c r="B115" i="7"/>
  <c r="G115" i="7" s="1"/>
  <c r="E115" i="7"/>
  <c r="D115" i="7"/>
  <c r="F115" i="7"/>
  <c r="H115" i="7"/>
  <c r="C117" i="7"/>
  <c r="AA121" i="7"/>
  <c r="AC119" i="7"/>
  <c r="AB119" i="7"/>
  <c r="Z119" i="7"/>
  <c r="AE119" i="7" s="1"/>
  <c r="AD119" i="7"/>
  <c r="AF119" i="7"/>
  <c r="AP50" i="7"/>
  <c r="AU50" i="7" s="1"/>
  <c r="AT50" i="7"/>
  <c r="AV50" i="7"/>
  <c r="AR50" i="7"/>
  <c r="AQ52" i="7"/>
  <c r="AS50" i="7"/>
  <c r="AT50" i="14"/>
  <c r="AR50" i="14"/>
  <c r="AU50" i="14"/>
  <c r="AW50" i="14"/>
  <c r="AS52" i="14"/>
  <c r="AV50" i="14"/>
  <c r="R56" i="7"/>
  <c r="W56" i="7" s="1"/>
  <c r="X56" i="7"/>
  <c r="U56" i="7"/>
  <c r="S58" i="7"/>
  <c r="T56" i="7"/>
  <c r="V56" i="7"/>
  <c r="BM54" i="14"/>
  <c r="BR54" i="14"/>
  <c r="BP54" i="14"/>
  <c r="BQ54" i="14"/>
  <c r="BO54" i="14"/>
  <c r="BN56" i="14"/>
  <c r="AD54" i="7"/>
  <c r="AF54" i="7"/>
  <c r="AC54" i="7"/>
  <c r="Z54" i="7"/>
  <c r="AE54" i="7" s="1"/>
  <c r="AB54" i="7"/>
  <c r="AA56" i="7"/>
  <c r="BT52" i="14"/>
  <c r="BU54" i="14"/>
  <c r="BY52" i="14"/>
  <c r="BX52" i="14"/>
  <c r="BW52" i="14"/>
  <c r="BV52" i="14"/>
  <c r="AJ117" i="7"/>
  <c r="AK117" i="7"/>
  <c r="AH117" i="7"/>
  <c r="AM117" i="7" s="1"/>
  <c r="AL117" i="7"/>
  <c r="AI119" i="7"/>
  <c r="AN117" i="7"/>
  <c r="AA56" i="14"/>
  <c r="Y56" i="14"/>
  <c r="X58" i="14"/>
  <c r="Z56" i="14"/>
  <c r="W56" i="14"/>
  <c r="AB56" i="14"/>
  <c r="AT115" i="7"/>
  <c r="AP115" i="7"/>
  <c r="AU115" i="7" s="1"/>
  <c r="AR115" i="7"/>
  <c r="AQ117" i="7"/>
  <c r="AV115" i="7"/>
  <c r="AS115" i="7"/>
  <c r="AJ52" i="7"/>
  <c r="AL52" i="7"/>
  <c r="AN52" i="7"/>
  <c r="AH52" i="7"/>
  <c r="AM52" i="7" s="1"/>
  <c r="AK52" i="7"/>
  <c r="AI54" i="7"/>
  <c r="T121" i="7"/>
  <c r="S123" i="7"/>
  <c r="X121" i="7"/>
  <c r="U121" i="7"/>
  <c r="R121" i="7"/>
  <c r="W121" i="7" s="1"/>
  <c r="V121" i="7"/>
  <c r="K127" i="7"/>
  <c r="J125" i="7"/>
  <c r="O125" i="7" s="1"/>
  <c r="M125" i="7"/>
  <c r="L125" i="7"/>
  <c r="P125" i="7"/>
  <c r="N125" i="7"/>
  <c r="P58" i="7"/>
  <c r="J58" i="7"/>
  <c r="O58" i="7" s="1"/>
  <c r="M58" i="7"/>
  <c r="N58" i="7"/>
  <c r="L58" i="7"/>
  <c r="K60" i="7"/>
  <c r="AO52" i="14"/>
  <c r="AP52" i="14"/>
  <c r="AM52" i="14"/>
  <c r="AN52" i="14"/>
  <c r="AL54" i="14"/>
  <c r="AK52" i="14"/>
  <c r="R31" i="10"/>
  <c r="T31" i="10" s="1"/>
  <c r="Q31" i="10"/>
  <c r="S31" i="10" s="1"/>
  <c r="F35" i="10"/>
  <c r="U34" i="10"/>
  <c r="V34" i="10" s="1"/>
  <c r="G34" i="10"/>
  <c r="H34" i="10" s="1"/>
  <c r="I34" i="10" s="1"/>
  <c r="AD23" i="15"/>
  <c r="AD4" i="15"/>
  <c r="AD15" i="15"/>
  <c r="AD14" i="15"/>
  <c r="AD20" i="15"/>
  <c r="AD19" i="15"/>
  <c r="AD22" i="15"/>
  <c r="AD5" i="15"/>
  <c r="AD16" i="15"/>
  <c r="AE6" i="15"/>
  <c r="AD8" i="15"/>
  <c r="AD26" i="15"/>
  <c r="AD9" i="15"/>
  <c r="AD25" i="15"/>
  <c r="AD17" i="15"/>
  <c r="AD12" i="15"/>
  <c r="AD7" i="15"/>
  <c r="AD18" i="15"/>
  <c r="AD13" i="15"/>
  <c r="AD27" i="15"/>
  <c r="AD21" i="15"/>
  <c r="AD10" i="15"/>
  <c r="AD11" i="15"/>
  <c r="AD24" i="15"/>
  <c r="J33" i="10"/>
  <c r="C62" i="14"/>
  <c r="G60" i="14"/>
  <c r="F60" i="14"/>
  <c r="E60" i="14"/>
  <c r="D60" i="14"/>
  <c r="B60" i="14"/>
  <c r="Q62" i="14"/>
  <c r="U60" i="14"/>
  <c r="T60" i="14"/>
  <c r="S60" i="14"/>
  <c r="P60" i="14"/>
  <c r="R60" i="14"/>
  <c r="N32" i="10"/>
  <c r="O32" i="10" s="1"/>
  <c r="P32" i="10" s="1"/>
  <c r="K32" i="10"/>
  <c r="L32" i="10" s="1"/>
  <c r="M32" i="10" s="1"/>
  <c r="BC58" i="14" l="1"/>
  <c r="BD58" i="14"/>
  <c r="BA58" i="14"/>
  <c r="AZ60" i="14"/>
  <c r="AY58" i="14"/>
  <c r="BB58" i="14"/>
  <c r="C62" i="7"/>
  <c r="E60" i="7"/>
  <c r="D60" i="7"/>
  <c r="H60" i="7"/>
  <c r="F60" i="7"/>
  <c r="B60" i="7"/>
  <c r="G60" i="7" s="1"/>
  <c r="K62" i="14"/>
  <c r="I62" i="14"/>
  <c r="J64" i="14"/>
  <c r="M62" i="14"/>
  <c r="L62" i="14"/>
  <c r="N62" i="14"/>
  <c r="H117" i="7"/>
  <c r="E117" i="7"/>
  <c r="D117" i="7"/>
  <c r="F117" i="7"/>
  <c r="C119" i="7"/>
  <c r="B117" i="7"/>
  <c r="G117" i="7" s="1"/>
  <c r="AK54" i="7"/>
  <c r="AH54" i="7"/>
  <c r="AM54" i="7" s="1"/>
  <c r="AL54" i="7"/>
  <c r="AN54" i="7"/>
  <c r="AJ54" i="7"/>
  <c r="AI56" i="7"/>
  <c r="AJ119" i="7"/>
  <c r="AI121" i="7"/>
  <c r="AL119" i="7"/>
  <c r="AK119" i="7"/>
  <c r="AH119" i="7"/>
  <c r="AM119" i="7" s="1"/>
  <c r="AN119" i="7"/>
  <c r="AP54" i="14"/>
  <c r="AO54" i="14"/>
  <c r="AN54" i="14"/>
  <c r="AL56" i="14"/>
  <c r="AK54" i="14"/>
  <c r="AM54" i="14"/>
  <c r="P127" i="7"/>
  <c r="M127" i="7"/>
  <c r="K129" i="7"/>
  <c r="J127" i="7"/>
  <c r="O127" i="7" s="1"/>
  <c r="N127" i="7"/>
  <c r="L127" i="7"/>
  <c r="BX54" i="14"/>
  <c r="BU56" i="14"/>
  <c r="BW54" i="14"/>
  <c r="BV54" i="14"/>
  <c r="BT54" i="14"/>
  <c r="BY54" i="14"/>
  <c r="BN58" i="14"/>
  <c r="BR56" i="14"/>
  <c r="BO56" i="14"/>
  <c r="BM56" i="14"/>
  <c r="BP56" i="14"/>
  <c r="BQ56" i="14"/>
  <c r="U58" i="7"/>
  <c r="R58" i="7"/>
  <c r="W58" i="7" s="1"/>
  <c r="V58" i="7"/>
  <c r="S60" i="7"/>
  <c r="X58" i="7"/>
  <c r="T58" i="7"/>
  <c r="Z56" i="7"/>
  <c r="AE56" i="7" s="1"/>
  <c r="AF56" i="7"/>
  <c r="AA58" i="7"/>
  <c r="AD56" i="7"/>
  <c r="AB56" i="7"/>
  <c r="AC56" i="7"/>
  <c r="Y58" i="14"/>
  <c r="W58" i="14"/>
  <c r="Z58" i="14"/>
  <c r="X60" i="14"/>
  <c r="AB58" i="14"/>
  <c r="AA58" i="14"/>
  <c r="AT52" i="7"/>
  <c r="AV52" i="7"/>
  <c r="AP52" i="7"/>
  <c r="AU52" i="7" s="1"/>
  <c r="AQ54" i="7"/>
  <c r="AS52" i="7"/>
  <c r="AR52" i="7"/>
  <c r="CC52" i="14"/>
  <c r="CD52" i="14"/>
  <c r="CA52" i="14"/>
  <c r="CB54" i="14"/>
  <c r="CF52" i="14"/>
  <c r="CE52" i="14"/>
  <c r="AP117" i="7"/>
  <c r="AU117" i="7" s="1"/>
  <c r="AV117" i="7"/>
  <c r="AT117" i="7"/>
  <c r="AR117" i="7"/>
  <c r="AQ119" i="7"/>
  <c r="AS117" i="7"/>
  <c r="BG60" i="14"/>
  <c r="BI58" i="14"/>
  <c r="BH58" i="14"/>
  <c r="BF58" i="14"/>
  <c r="BK58" i="14"/>
  <c r="BJ58" i="14"/>
  <c r="W31" i="10"/>
  <c r="M60" i="7"/>
  <c r="J60" i="7"/>
  <c r="O60" i="7" s="1"/>
  <c r="N60" i="7"/>
  <c r="P60" i="7"/>
  <c r="K62" i="7"/>
  <c r="L60" i="7"/>
  <c r="U123" i="7"/>
  <c r="X123" i="7"/>
  <c r="V123" i="7"/>
  <c r="S125" i="7"/>
  <c r="T123" i="7"/>
  <c r="R123" i="7"/>
  <c r="W123" i="7" s="1"/>
  <c r="AU52" i="14"/>
  <c r="AR52" i="14"/>
  <c r="AS54" i="14"/>
  <c r="AT52" i="14"/>
  <c r="AW52" i="14"/>
  <c r="AV52" i="14"/>
  <c r="AC121" i="7"/>
  <c r="AA123" i="7"/>
  <c r="AF121" i="7"/>
  <c r="AB121" i="7"/>
  <c r="AD121" i="7"/>
  <c r="Z121" i="7"/>
  <c r="AE121" i="7" s="1"/>
  <c r="AI56" i="14"/>
  <c r="AF56" i="14"/>
  <c r="AH56" i="14"/>
  <c r="AD56" i="14"/>
  <c r="AG56" i="14"/>
  <c r="AE58" i="14"/>
  <c r="U35" i="10"/>
  <c r="V35" i="10" s="1"/>
  <c r="F36" i="10"/>
  <c r="G35" i="10"/>
  <c r="H35" i="10" s="1"/>
  <c r="I35" i="10" s="1"/>
  <c r="G62" i="14"/>
  <c r="F62" i="14"/>
  <c r="E62" i="14"/>
  <c r="D62" i="14"/>
  <c r="B62" i="14"/>
  <c r="C64" i="14"/>
  <c r="N33" i="10"/>
  <c r="O33" i="10" s="1"/>
  <c r="P33" i="10" s="1"/>
  <c r="K33" i="10"/>
  <c r="L33" i="10" s="1"/>
  <c r="M33" i="10" s="1"/>
  <c r="R62" i="14"/>
  <c r="P62" i="14"/>
  <c r="S62" i="14"/>
  <c r="U62" i="14"/>
  <c r="Q64" i="14"/>
  <c r="T62" i="14"/>
  <c r="Q32" i="10"/>
  <c r="S32" i="10" s="1"/>
  <c r="R32" i="10"/>
  <c r="T32" i="10" s="1"/>
  <c r="AE26" i="15"/>
  <c r="AE10" i="15"/>
  <c r="AE13" i="15"/>
  <c r="AE12" i="15"/>
  <c r="AE18" i="15"/>
  <c r="AE9" i="15"/>
  <c r="AE4" i="15"/>
  <c r="AE23" i="15"/>
  <c r="AE25" i="15"/>
  <c r="AE16" i="15"/>
  <c r="AE7" i="15"/>
  <c r="AE22" i="15"/>
  <c r="AE17" i="15"/>
  <c r="AE5" i="15"/>
  <c r="AF6" i="15"/>
  <c r="AE21" i="15"/>
  <c r="AE19" i="15"/>
  <c r="AE27" i="15"/>
  <c r="AE8" i="15"/>
  <c r="AE14" i="15"/>
  <c r="AE20" i="15"/>
  <c r="AE11" i="15"/>
  <c r="AE15" i="15"/>
  <c r="AE24" i="15"/>
  <c r="J34" i="10"/>
  <c r="BC60" i="14" l="1"/>
  <c r="BB60" i="14"/>
  <c r="BD60" i="14"/>
  <c r="BA60" i="14"/>
  <c r="AY60" i="14"/>
  <c r="AZ62" i="14"/>
  <c r="H62" i="7"/>
  <c r="C64" i="7"/>
  <c r="B62" i="7"/>
  <c r="F62" i="7"/>
  <c r="D62" i="7"/>
  <c r="K64" i="14"/>
  <c r="N64" i="14"/>
  <c r="M64" i="14"/>
  <c r="L64" i="14"/>
  <c r="I64" i="14"/>
  <c r="J66" i="14"/>
  <c r="S127" i="7"/>
  <c r="U125" i="7"/>
  <c r="T125" i="7"/>
  <c r="V125" i="7"/>
  <c r="X125" i="7"/>
  <c r="R125" i="7"/>
  <c r="W125" i="7" s="1"/>
  <c r="AP54" i="7"/>
  <c r="AU54" i="7" s="1"/>
  <c r="AQ56" i="7"/>
  <c r="AR54" i="7"/>
  <c r="AS54" i="7"/>
  <c r="AT54" i="7"/>
  <c r="AV54" i="7"/>
  <c r="BU58" i="14"/>
  <c r="BY56" i="14"/>
  <c r="BW56" i="14"/>
  <c r="BV56" i="14"/>
  <c r="BT56" i="14"/>
  <c r="BX56" i="14"/>
  <c r="BF60" i="14"/>
  <c r="BG62" i="14"/>
  <c r="BK60" i="14"/>
  <c r="BJ60" i="14"/>
  <c r="BI60" i="14"/>
  <c r="BH60" i="14"/>
  <c r="CE54" i="14"/>
  <c r="CD54" i="14"/>
  <c r="CB56" i="14"/>
  <c r="CF54" i="14"/>
  <c r="CC54" i="14"/>
  <c r="CA54" i="14"/>
  <c r="X60" i="7"/>
  <c r="V60" i="7"/>
  <c r="S62" i="7"/>
  <c r="R60" i="7"/>
  <c r="W60" i="7" s="1"/>
  <c r="T60" i="7"/>
  <c r="U60" i="7"/>
  <c r="AO56" i="14"/>
  <c r="AL58" i="14"/>
  <c r="AN56" i="14"/>
  <c r="AM56" i="14"/>
  <c r="AP56" i="14"/>
  <c r="AK56" i="14"/>
  <c r="AI123" i="7"/>
  <c r="AJ121" i="7"/>
  <c r="AH121" i="7"/>
  <c r="AM121" i="7" s="1"/>
  <c r="AK121" i="7"/>
  <c r="AL121" i="7"/>
  <c r="AN121" i="7"/>
  <c r="AR119" i="7"/>
  <c r="AS119" i="7"/>
  <c r="AQ121" i="7"/>
  <c r="AV119" i="7"/>
  <c r="AT119" i="7"/>
  <c r="AP119" i="7"/>
  <c r="AU119" i="7" s="1"/>
  <c r="BO58" i="14"/>
  <c r="BM58" i="14"/>
  <c r="BN60" i="14"/>
  <c r="BR58" i="14"/>
  <c r="BQ58" i="14"/>
  <c r="BP58" i="14"/>
  <c r="H119" i="7"/>
  <c r="C121" i="7"/>
  <c r="B119" i="7"/>
  <c r="G119" i="7" s="1"/>
  <c r="F119" i="7"/>
  <c r="E119" i="7"/>
  <c r="D119" i="7"/>
  <c r="AV54" i="14"/>
  <c r="AT54" i="14"/>
  <c r="AW54" i="14"/>
  <c r="AS56" i="14"/>
  <c r="AR54" i="14"/>
  <c r="AU54" i="14"/>
  <c r="AG58" i="14"/>
  <c r="AE60" i="14"/>
  <c r="AF58" i="14"/>
  <c r="AD58" i="14"/>
  <c r="AI58" i="14"/>
  <c r="AH58" i="14"/>
  <c r="AI58" i="7"/>
  <c r="AJ56" i="7"/>
  <c r="AH56" i="7"/>
  <c r="AM56" i="7" s="1"/>
  <c r="AL56" i="7"/>
  <c r="AK56" i="7"/>
  <c r="AN56" i="7"/>
  <c r="AD58" i="7"/>
  <c r="AA60" i="7"/>
  <c r="AC58" i="7"/>
  <c r="AB58" i="7"/>
  <c r="Z58" i="7"/>
  <c r="AE58" i="7" s="1"/>
  <c r="AF58" i="7"/>
  <c r="P129" i="7"/>
  <c r="K131" i="7"/>
  <c r="J129" i="7"/>
  <c r="N129" i="7"/>
  <c r="L129" i="7"/>
  <c r="AF123" i="7"/>
  <c r="AD123" i="7"/>
  <c r="AB123" i="7"/>
  <c r="Z123" i="7"/>
  <c r="AE123" i="7" s="1"/>
  <c r="AA125" i="7"/>
  <c r="AC123" i="7"/>
  <c r="P62" i="7"/>
  <c r="N62" i="7"/>
  <c r="L62" i="7"/>
  <c r="J62" i="7"/>
  <c r="K64" i="7"/>
  <c r="Y60" i="14"/>
  <c r="W60" i="14"/>
  <c r="X62" i="14"/>
  <c r="AA60" i="14"/>
  <c r="AB60" i="14"/>
  <c r="Z60" i="14"/>
  <c r="AF9" i="15"/>
  <c r="AF27" i="15"/>
  <c r="AF19" i="15"/>
  <c r="AF20" i="15"/>
  <c r="AF16" i="15"/>
  <c r="AF22" i="15"/>
  <c r="AF26" i="15"/>
  <c r="AF12" i="15"/>
  <c r="AF8" i="15"/>
  <c r="AF18" i="15"/>
  <c r="AF21" i="15"/>
  <c r="AF10" i="15"/>
  <c r="AG6" i="15"/>
  <c r="AF23" i="15"/>
  <c r="AF25" i="15"/>
  <c r="AF15" i="15"/>
  <c r="AF24" i="15"/>
  <c r="AF14" i="15"/>
  <c r="AF13" i="15"/>
  <c r="AF7" i="15"/>
  <c r="AF11" i="15"/>
  <c r="AF5" i="15"/>
  <c r="AF17" i="15"/>
  <c r="J35" i="10"/>
  <c r="R33" i="10"/>
  <c r="T33" i="10" s="1"/>
  <c r="Q33" i="10"/>
  <c r="S33" i="10" s="1"/>
  <c r="F37" i="10"/>
  <c r="U36" i="10"/>
  <c r="V36" i="10" s="1"/>
  <c r="G36" i="10"/>
  <c r="H36" i="10" s="1"/>
  <c r="I36" i="10" s="1"/>
  <c r="D64" i="14"/>
  <c r="B64" i="14"/>
  <c r="G64" i="14"/>
  <c r="F64" i="14"/>
  <c r="E64" i="14"/>
  <c r="C66" i="14"/>
  <c r="W32" i="10"/>
  <c r="N34" i="10"/>
  <c r="O34" i="10" s="1"/>
  <c r="P34" i="10" s="1"/>
  <c r="K34" i="10"/>
  <c r="L34" i="10" s="1"/>
  <c r="M34" i="10" s="1"/>
  <c r="U64" i="14"/>
  <c r="T64" i="14"/>
  <c r="S64" i="14"/>
  <c r="R64" i="14"/>
  <c r="P64" i="14"/>
  <c r="Q66" i="14"/>
  <c r="AZ64" i="14" l="1"/>
  <c r="BA62" i="14"/>
  <c r="BC62" i="14"/>
  <c r="BD62" i="14"/>
  <c r="AY62" i="14"/>
  <c r="BB62" i="14"/>
  <c r="E62" i="7"/>
  <c r="G62" i="7"/>
  <c r="C66" i="7"/>
  <c r="H68" i="7" s="1"/>
  <c r="B64" i="7"/>
  <c r="F64" i="7"/>
  <c r="D64" i="7"/>
  <c r="H64" i="7"/>
  <c r="L66" i="14"/>
  <c r="N66" i="14"/>
  <c r="K66" i="14"/>
  <c r="I66" i="14"/>
  <c r="M66" i="14"/>
  <c r="AH58" i="7"/>
  <c r="AM58" i="7" s="1"/>
  <c r="AL58" i="7"/>
  <c r="AI60" i="7"/>
  <c r="AJ58" i="7"/>
  <c r="AN58" i="7"/>
  <c r="AK58" i="7"/>
  <c r="AT56" i="7"/>
  <c r="AV56" i="7"/>
  <c r="AS56" i="7"/>
  <c r="AP56" i="7"/>
  <c r="AU56" i="7" s="1"/>
  <c r="AQ58" i="7"/>
  <c r="AR56" i="7"/>
  <c r="AD60" i="7"/>
  <c r="AF60" i="7"/>
  <c r="AA62" i="7"/>
  <c r="Z60" i="7"/>
  <c r="AE60" i="7" s="1"/>
  <c r="AB60" i="7"/>
  <c r="AC60" i="7"/>
  <c r="AV56" i="14"/>
  <c r="AU56" i="14"/>
  <c r="AT56" i="14"/>
  <c r="AW56" i="14"/>
  <c r="AS58" i="14"/>
  <c r="AR56" i="14"/>
  <c r="C123" i="7"/>
  <c r="B121" i="7"/>
  <c r="G121" i="7" s="1"/>
  <c r="E121" i="7"/>
  <c r="D121" i="7"/>
  <c r="F121" i="7"/>
  <c r="H121" i="7"/>
  <c r="AP58" i="14"/>
  <c r="AO58" i="14"/>
  <c r="AK58" i="14"/>
  <c r="AN58" i="14"/>
  <c r="AL60" i="14"/>
  <c r="AM58" i="14"/>
  <c r="AB62" i="14"/>
  <c r="Y62" i="14"/>
  <c r="W62" i="14"/>
  <c r="Z62" i="14"/>
  <c r="X64" i="14"/>
  <c r="AA62" i="14"/>
  <c r="M129" i="7"/>
  <c r="O129" i="7"/>
  <c r="AC125" i="7"/>
  <c r="Z125" i="7"/>
  <c r="AE125" i="7" s="1"/>
  <c r="AB125" i="7"/>
  <c r="AD125" i="7"/>
  <c r="AA127" i="7"/>
  <c r="AF125" i="7"/>
  <c r="J131" i="7"/>
  <c r="P131" i="7"/>
  <c r="L131" i="7"/>
  <c r="K133" i="7"/>
  <c r="N131" i="7"/>
  <c r="BY58" i="14"/>
  <c r="BV58" i="14"/>
  <c r="BX58" i="14"/>
  <c r="BT58" i="14"/>
  <c r="BU60" i="14"/>
  <c r="BW58" i="14"/>
  <c r="AT121" i="7"/>
  <c r="AP121" i="7"/>
  <c r="AU121" i="7" s="1"/>
  <c r="AV121" i="7"/>
  <c r="AS121" i="7"/>
  <c r="AQ123" i="7"/>
  <c r="AR121" i="7"/>
  <c r="AJ123" i="7"/>
  <c r="AL123" i="7"/>
  <c r="AK123" i="7"/>
  <c r="AI125" i="7"/>
  <c r="AN123" i="7"/>
  <c r="AH123" i="7"/>
  <c r="AM123" i="7" s="1"/>
  <c r="BI62" i="14"/>
  <c r="BG64" i="14"/>
  <c r="BK62" i="14"/>
  <c r="BH62" i="14"/>
  <c r="BF62" i="14"/>
  <c r="BJ62" i="14"/>
  <c r="P64" i="7"/>
  <c r="K66" i="7"/>
  <c r="P68" i="7" s="1"/>
  <c r="J64" i="7"/>
  <c r="N64" i="7"/>
  <c r="L64" i="7"/>
  <c r="AF60" i="14"/>
  <c r="AG60" i="14"/>
  <c r="AD60" i="14"/>
  <c r="AI60" i="14"/>
  <c r="AE62" i="14"/>
  <c r="AH60" i="14"/>
  <c r="CF56" i="14"/>
  <c r="CB58" i="14"/>
  <c r="CC56" i="14"/>
  <c r="CD56" i="14"/>
  <c r="CE56" i="14"/>
  <c r="CA56" i="14"/>
  <c r="M62" i="7"/>
  <c r="O62" i="7"/>
  <c r="BP60" i="14"/>
  <c r="BM60" i="14"/>
  <c r="BO60" i="14"/>
  <c r="BN62" i="14"/>
  <c r="BQ60" i="14"/>
  <c r="BR60" i="14"/>
  <c r="X62" i="7"/>
  <c r="S64" i="7"/>
  <c r="V62" i="7"/>
  <c r="T62" i="7"/>
  <c r="R62" i="7"/>
  <c r="S129" i="7"/>
  <c r="V127" i="7"/>
  <c r="T127" i="7"/>
  <c r="X127" i="7"/>
  <c r="R127" i="7"/>
  <c r="W127" i="7" s="1"/>
  <c r="U127" i="7"/>
  <c r="R66" i="14"/>
  <c r="P66" i="14"/>
  <c r="U66" i="14"/>
  <c r="T66" i="14"/>
  <c r="S66" i="14"/>
  <c r="AG23" i="15"/>
  <c r="AG21" i="15"/>
  <c r="AG8" i="15"/>
  <c r="AG16" i="15"/>
  <c r="AG14" i="15"/>
  <c r="AG13" i="15"/>
  <c r="AG11" i="15"/>
  <c r="AG20" i="15"/>
  <c r="AG17" i="15"/>
  <c r="AG19" i="15"/>
  <c r="AG9" i="15"/>
  <c r="AG25" i="15"/>
  <c r="AG26" i="15"/>
  <c r="AH6" i="15"/>
  <c r="AG27" i="15"/>
  <c r="AG22" i="15"/>
  <c r="AG24" i="15"/>
  <c r="AG10" i="15"/>
  <c r="AG18" i="15"/>
  <c r="AG12" i="15"/>
  <c r="AG7" i="15"/>
  <c r="AG15" i="15"/>
  <c r="AG5" i="15"/>
  <c r="J36" i="10"/>
  <c r="N35" i="10"/>
  <c r="O35" i="10" s="1"/>
  <c r="P35" i="10" s="1"/>
  <c r="K35" i="10"/>
  <c r="L35" i="10" s="1"/>
  <c r="M35" i="10" s="1"/>
  <c r="R34" i="10"/>
  <c r="T34" i="10" s="1"/>
  <c r="Q34" i="10"/>
  <c r="S34" i="10" s="1"/>
  <c r="F66" i="14"/>
  <c r="B66" i="14"/>
  <c r="E66" i="14"/>
  <c r="G66" i="14"/>
  <c r="D66" i="14"/>
  <c r="F38" i="10"/>
  <c r="G37" i="10"/>
  <c r="H37" i="10" s="1"/>
  <c r="I37" i="10" s="1"/>
  <c r="U37" i="10"/>
  <c r="V37" i="10" s="1"/>
  <c r="W33" i="10"/>
  <c r="AY64" i="14" l="1"/>
  <c r="BA64" i="14"/>
  <c r="AZ66" i="14"/>
  <c r="BB64" i="14"/>
  <c r="BD64" i="14"/>
  <c r="BC64" i="14"/>
  <c r="E64" i="7"/>
  <c r="G64" i="7"/>
  <c r="H66" i="7"/>
  <c r="F66" i="7"/>
  <c r="B66" i="7"/>
  <c r="D66" i="7"/>
  <c r="W34" i="10"/>
  <c r="S131" i="7"/>
  <c r="V129" i="7"/>
  <c r="R129" i="7"/>
  <c r="X129" i="7"/>
  <c r="T129" i="7"/>
  <c r="BM62" i="14"/>
  <c r="BR62" i="14"/>
  <c r="BN64" i="14"/>
  <c r="BO62" i="14"/>
  <c r="BP62" i="14"/>
  <c r="BQ62" i="14"/>
  <c r="AN125" i="7"/>
  <c r="AL125" i="7"/>
  <c r="AH125" i="7"/>
  <c r="AM125" i="7" s="1"/>
  <c r="AI127" i="7"/>
  <c r="AK125" i="7"/>
  <c r="AJ125" i="7"/>
  <c r="AW58" i="14"/>
  <c r="AS60" i="14"/>
  <c r="AV58" i="14"/>
  <c r="AU58" i="14"/>
  <c r="AR58" i="14"/>
  <c r="AT58" i="14"/>
  <c r="W62" i="7"/>
  <c r="U62" i="7"/>
  <c r="P135" i="7"/>
  <c r="P133" i="7"/>
  <c r="L133" i="7"/>
  <c r="J133" i="7"/>
  <c r="N133" i="7"/>
  <c r="AD62" i="7"/>
  <c r="AF62" i="7"/>
  <c r="AA64" i="7"/>
  <c r="AB62" i="7"/>
  <c r="Z62" i="7"/>
  <c r="CD58" i="14"/>
  <c r="CB60" i="14"/>
  <c r="CF58" i="14"/>
  <c r="CE58" i="14"/>
  <c r="CA58" i="14"/>
  <c r="CC58" i="14"/>
  <c r="BW60" i="14"/>
  <c r="BX60" i="14"/>
  <c r="BY60" i="14"/>
  <c r="BV60" i="14"/>
  <c r="BU62" i="14"/>
  <c r="BT60" i="14"/>
  <c r="R64" i="7"/>
  <c r="S66" i="7"/>
  <c r="X68" i="7" s="1"/>
  <c r="T64" i="7"/>
  <c r="X64" i="7"/>
  <c r="V64" i="7"/>
  <c r="BG66" i="14"/>
  <c r="BI64" i="14"/>
  <c r="BJ64" i="14"/>
  <c r="BH64" i="14"/>
  <c r="BF64" i="14"/>
  <c r="BK64" i="14"/>
  <c r="M131" i="7"/>
  <c r="O131" i="7"/>
  <c r="AM60" i="14"/>
  <c r="AK60" i="14"/>
  <c r="AL62" i="14"/>
  <c r="AP60" i="14"/>
  <c r="AO60" i="14"/>
  <c r="AN60" i="14"/>
  <c r="AD62" i="14"/>
  <c r="AE64" i="14"/>
  <c r="AI62" i="14"/>
  <c r="AF62" i="14"/>
  <c r="AH62" i="14"/>
  <c r="AG62" i="14"/>
  <c r="O64" i="7"/>
  <c r="M64" i="7"/>
  <c r="AT123" i="7"/>
  <c r="AS123" i="7"/>
  <c r="AQ125" i="7"/>
  <c r="AV123" i="7"/>
  <c r="AR123" i="7"/>
  <c r="AP123" i="7"/>
  <c r="AU123" i="7" s="1"/>
  <c r="AP58" i="7"/>
  <c r="AU58" i="7" s="1"/>
  <c r="AS58" i="7"/>
  <c r="AR58" i="7"/>
  <c r="AT58" i="7"/>
  <c r="AV58" i="7"/>
  <c r="AQ60" i="7"/>
  <c r="AN60" i="7"/>
  <c r="AK60" i="7"/>
  <c r="AJ60" i="7"/>
  <c r="AL60" i="7"/>
  <c r="AH60" i="7"/>
  <c r="AM60" i="7" s="1"/>
  <c r="AI62" i="7"/>
  <c r="P66" i="7"/>
  <c r="J66" i="7"/>
  <c r="L66" i="7"/>
  <c r="N66" i="7"/>
  <c r="AD127" i="7"/>
  <c r="AA129" i="7"/>
  <c r="AC127" i="7"/>
  <c r="Z127" i="7"/>
  <c r="AE127" i="7" s="1"/>
  <c r="AB127" i="7"/>
  <c r="AF127" i="7"/>
  <c r="X66" i="14"/>
  <c r="AA64" i="14"/>
  <c r="Y64" i="14"/>
  <c r="W64" i="14"/>
  <c r="Z64" i="14"/>
  <c r="AB64" i="14"/>
  <c r="H123" i="7"/>
  <c r="C125" i="7"/>
  <c r="E123" i="7"/>
  <c r="D123" i="7"/>
  <c r="F123" i="7"/>
  <c r="B123" i="7"/>
  <c r="G123" i="7" s="1"/>
  <c r="N36" i="10"/>
  <c r="O36" i="10" s="1"/>
  <c r="P36" i="10" s="1"/>
  <c r="K36" i="10"/>
  <c r="L36" i="10" s="1"/>
  <c r="M36" i="10" s="1"/>
  <c r="AH20" i="15"/>
  <c r="AH19" i="15"/>
  <c r="AH12" i="15"/>
  <c r="AH25" i="15"/>
  <c r="AI6" i="15"/>
  <c r="AH14" i="15"/>
  <c r="AH16" i="15"/>
  <c r="AH9" i="15"/>
  <c r="AH7" i="15"/>
  <c r="AH17" i="15"/>
  <c r="AH11" i="15"/>
  <c r="AH23" i="15"/>
  <c r="AH8" i="15"/>
  <c r="AH26" i="15"/>
  <c r="AH5" i="15"/>
  <c r="AH27" i="15"/>
  <c r="AH24" i="15"/>
  <c r="AH13" i="15"/>
  <c r="AH22" i="15"/>
  <c r="AH18" i="15"/>
  <c r="AH10" i="15"/>
  <c r="AH21" i="15"/>
  <c r="AH15" i="15"/>
  <c r="R35" i="10"/>
  <c r="T35" i="10" s="1"/>
  <c r="Q35" i="10"/>
  <c r="S35" i="10" s="1"/>
  <c r="U38" i="10"/>
  <c r="V38" i="10" s="1"/>
  <c r="F39" i="10"/>
  <c r="G38" i="10"/>
  <c r="H38" i="10" s="1"/>
  <c r="I38" i="10" s="1"/>
  <c r="J37" i="10"/>
  <c r="BD66" i="14" l="1"/>
  <c r="AY66" i="14"/>
  <c r="BB66" i="14"/>
  <c r="BC66" i="14"/>
  <c r="BA66" i="14"/>
  <c r="W35" i="10"/>
  <c r="G66" i="7"/>
  <c r="E66" i="7"/>
  <c r="AV60" i="7"/>
  <c r="AQ62" i="7"/>
  <c r="AS60" i="7"/>
  <c r="AT60" i="7"/>
  <c r="AP60" i="7"/>
  <c r="AU60" i="7" s="1"/>
  <c r="AR60" i="7"/>
  <c r="AL64" i="14"/>
  <c r="AP62" i="14"/>
  <c r="AO62" i="14"/>
  <c r="AN62" i="14"/>
  <c r="AM62" i="14"/>
  <c r="AK62" i="14"/>
  <c r="U64" i="7"/>
  <c r="W64" i="7"/>
  <c r="BQ64" i="14"/>
  <c r="BR64" i="14"/>
  <c r="BP64" i="14"/>
  <c r="BO64" i="14"/>
  <c r="BM64" i="14"/>
  <c r="BN66" i="14"/>
  <c r="AH127" i="7"/>
  <c r="AM127" i="7" s="1"/>
  <c r="AI129" i="7"/>
  <c r="AJ127" i="7"/>
  <c r="AN127" i="7"/>
  <c r="AL127" i="7"/>
  <c r="AK127" i="7"/>
  <c r="AJ62" i="7"/>
  <c r="AL62" i="7"/>
  <c r="AH62" i="7"/>
  <c r="AN62" i="7"/>
  <c r="AI64" i="7"/>
  <c r="AV125" i="7"/>
  <c r="AQ127" i="7"/>
  <c r="AT125" i="7"/>
  <c r="AR125" i="7"/>
  <c r="AS125" i="7"/>
  <c r="AP125" i="7"/>
  <c r="AU125" i="7" s="1"/>
  <c r="BJ66" i="14"/>
  <c r="BH66" i="14"/>
  <c r="BF66" i="14"/>
  <c r="BK66" i="14"/>
  <c r="BI66" i="14"/>
  <c r="BX62" i="14"/>
  <c r="BU64" i="14"/>
  <c r="BV62" i="14"/>
  <c r="BT62" i="14"/>
  <c r="BY62" i="14"/>
  <c r="BW62" i="14"/>
  <c r="AD129" i="7"/>
  <c r="Z129" i="7"/>
  <c r="AF129" i="7"/>
  <c r="AA131" i="7"/>
  <c r="AB129" i="7"/>
  <c r="AI64" i="14"/>
  <c r="AF64" i="14"/>
  <c r="AE66" i="14"/>
  <c r="AH64" i="14"/>
  <c r="AG64" i="14"/>
  <c r="AD64" i="14"/>
  <c r="CF60" i="14"/>
  <c r="CC60" i="14"/>
  <c r="CA60" i="14"/>
  <c r="CE60" i="14"/>
  <c r="CD60" i="14"/>
  <c r="CB62" i="14"/>
  <c r="O133" i="7"/>
  <c r="M133" i="7"/>
  <c r="AA66" i="14"/>
  <c r="AB66" i="14"/>
  <c r="Z66" i="14"/>
  <c r="Y66" i="14"/>
  <c r="W66" i="14"/>
  <c r="AC62" i="7"/>
  <c r="AE62" i="7"/>
  <c r="AS62" i="14"/>
  <c r="AR60" i="14"/>
  <c r="AW60" i="14"/>
  <c r="AV60" i="14"/>
  <c r="AU60" i="14"/>
  <c r="AT60" i="14"/>
  <c r="W129" i="7"/>
  <c r="U129" i="7"/>
  <c r="D125" i="7"/>
  <c r="C127" i="7"/>
  <c r="B125" i="7"/>
  <c r="G125" i="7" s="1"/>
  <c r="H125" i="7"/>
  <c r="E125" i="7"/>
  <c r="F125" i="7"/>
  <c r="M66" i="7"/>
  <c r="O66" i="7"/>
  <c r="R66" i="7"/>
  <c r="T66" i="7"/>
  <c r="X66" i="7"/>
  <c r="V66" i="7"/>
  <c r="AA66" i="7"/>
  <c r="Z64" i="7"/>
  <c r="AB64" i="7"/>
  <c r="AF64" i="7"/>
  <c r="AD64" i="7"/>
  <c r="R131" i="7"/>
  <c r="S133" i="7"/>
  <c r="X135" i="7" s="1"/>
  <c r="T131" i="7"/>
  <c r="X131" i="7"/>
  <c r="V131" i="7"/>
  <c r="Q36" i="10"/>
  <c r="S36" i="10" s="1"/>
  <c r="R36" i="10"/>
  <c r="T36" i="10" s="1"/>
  <c r="AI12" i="15"/>
  <c r="AI18" i="15"/>
  <c r="AI19" i="15"/>
  <c r="AI13" i="15"/>
  <c r="AI5" i="15"/>
  <c r="AI8" i="15"/>
  <c r="AI9" i="15"/>
  <c r="AI25" i="15"/>
  <c r="AI11" i="15"/>
  <c r="AI17" i="15"/>
  <c r="AI10" i="15"/>
  <c r="AI20" i="15"/>
  <c r="AI14" i="15"/>
  <c r="AI24" i="15"/>
  <c r="AI27" i="15"/>
  <c r="AI23" i="15"/>
  <c r="AI22" i="15"/>
  <c r="AI7" i="15"/>
  <c r="AI21" i="15"/>
  <c r="AI16" i="15"/>
  <c r="AI26" i="15"/>
  <c r="AJ6" i="15"/>
  <c r="AI15" i="15"/>
  <c r="J38" i="10"/>
  <c r="K37" i="10"/>
  <c r="L37" i="10" s="1"/>
  <c r="M37" i="10" s="1"/>
  <c r="N37" i="10"/>
  <c r="O37" i="10" s="1"/>
  <c r="P37" i="10" s="1"/>
  <c r="F40" i="10"/>
  <c r="G39" i="10"/>
  <c r="H39" i="10" s="1"/>
  <c r="I39" i="10" s="1"/>
  <c r="U39" i="10"/>
  <c r="V39" i="10" s="1"/>
  <c r="W36" i="10" l="1"/>
  <c r="R133" i="7"/>
  <c r="T133" i="7"/>
  <c r="X133" i="7"/>
  <c r="AL66" i="14"/>
  <c r="AO64" i="14"/>
  <c r="AN64" i="14"/>
  <c r="AK64" i="14"/>
  <c r="AM64" i="14"/>
  <c r="AP64" i="14"/>
  <c r="W131" i="7"/>
  <c r="U131" i="7"/>
  <c r="AK62" i="7"/>
  <c r="AM62" i="7"/>
  <c r="AH129" i="7"/>
  <c r="AL129" i="7"/>
  <c r="AJ129" i="7"/>
  <c r="AI131" i="7"/>
  <c r="AN129" i="7"/>
  <c r="W66" i="7"/>
  <c r="U66" i="7"/>
  <c r="F127" i="7"/>
  <c r="E127" i="7"/>
  <c r="H127" i="7"/>
  <c r="C129" i="7"/>
  <c r="B127" i="7"/>
  <c r="G127" i="7" s="1"/>
  <c r="D127" i="7"/>
  <c r="AD131" i="7"/>
  <c r="AB131" i="7"/>
  <c r="AF131" i="7"/>
  <c r="Z131" i="7"/>
  <c r="AA133" i="7"/>
  <c r="AF135" i="7" s="1"/>
  <c r="BU66" i="14"/>
  <c r="BX64" i="14"/>
  <c r="BW64" i="14"/>
  <c r="BV64" i="14"/>
  <c r="BY64" i="14"/>
  <c r="BT64" i="14"/>
  <c r="AU62" i="14"/>
  <c r="AR62" i="14"/>
  <c r="AW62" i="14"/>
  <c r="AT62" i="14"/>
  <c r="AV62" i="14"/>
  <c r="AS64" i="14"/>
  <c r="BM66" i="14"/>
  <c r="BP66" i="14"/>
  <c r="BQ66" i="14"/>
  <c r="BO66" i="14"/>
  <c r="BR66" i="14"/>
  <c r="AE129" i="7"/>
  <c r="AC129" i="7"/>
  <c r="AC64" i="7"/>
  <c r="AE64" i="7"/>
  <c r="CD62" i="14"/>
  <c r="CB64" i="14"/>
  <c r="CC62" i="14"/>
  <c r="CF62" i="14"/>
  <c r="CE62" i="14"/>
  <c r="CA62" i="14"/>
  <c r="AR127" i="7"/>
  <c r="AT127" i="7"/>
  <c r="AQ129" i="7"/>
  <c r="AP127" i="7"/>
  <c r="AU127" i="7" s="1"/>
  <c r="AS127" i="7"/>
  <c r="AV127" i="7"/>
  <c r="AF66" i="7"/>
  <c r="AB66" i="7"/>
  <c r="Z66" i="7"/>
  <c r="AD66" i="7"/>
  <c r="AF68" i="7"/>
  <c r="AD66" i="14"/>
  <c r="AI66" i="14"/>
  <c r="AH66" i="14"/>
  <c r="AF66" i="14"/>
  <c r="AG66" i="14"/>
  <c r="AP62" i="7"/>
  <c r="AV62" i="7"/>
  <c r="AQ64" i="7"/>
  <c r="AR62" i="7"/>
  <c r="AT62" i="7"/>
  <c r="AH64" i="7"/>
  <c r="AN64" i="7"/>
  <c r="AJ64" i="7"/>
  <c r="AL64" i="7"/>
  <c r="AI66" i="7"/>
  <c r="AN68" i="7" s="1"/>
  <c r="AJ22" i="15"/>
  <c r="AJ24" i="15"/>
  <c r="AJ26" i="15"/>
  <c r="AJ7" i="15"/>
  <c r="AJ27" i="15"/>
  <c r="AJ13" i="15"/>
  <c r="AJ14" i="15"/>
  <c r="AJ18" i="15"/>
  <c r="AJ25" i="15"/>
  <c r="AJ15" i="15"/>
  <c r="AJ19" i="15"/>
  <c r="AJ5" i="15"/>
  <c r="AJ23" i="15"/>
  <c r="AJ10" i="15"/>
  <c r="AJ11" i="15"/>
  <c r="AJ17" i="15"/>
  <c r="AJ20" i="15"/>
  <c r="AJ8" i="15"/>
  <c r="AJ21" i="15"/>
  <c r="AJ16" i="15"/>
  <c r="AJ9" i="15"/>
  <c r="AK6" i="15"/>
  <c r="AJ12" i="15"/>
  <c r="N38" i="10"/>
  <c r="O38" i="10" s="1"/>
  <c r="P38" i="10" s="1"/>
  <c r="K38" i="10"/>
  <c r="L38" i="10" s="1"/>
  <c r="M38" i="10" s="1"/>
  <c r="J39" i="10"/>
  <c r="F41" i="10"/>
  <c r="U40" i="10"/>
  <c r="V40" i="10" s="1"/>
  <c r="G40" i="10"/>
  <c r="H40" i="10" s="1"/>
  <c r="I40" i="10" s="1"/>
  <c r="R37" i="10"/>
  <c r="T37" i="10" s="1"/>
  <c r="Q37" i="10"/>
  <c r="S37" i="10" s="1"/>
  <c r="W37" i="10" s="1"/>
  <c r="AT64" i="7" l="1"/>
  <c r="AR64" i="7"/>
  <c r="AV64" i="7"/>
  <c r="AQ66" i="7"/>
  <c r="AV68" i="7" s="1"/>
  <c r="AP64" i="7"/>
  <c r="CC64" i="14"/>
  <c r="CB66" i="14"/>
  <c r="CF64" i="14"/>
  <c r="CE64" i="14"/>
  <c r="CD64" i="14"/>
  <c r="CA64" i="14"/>
  <c r="Z133" i="7"/>
  <c r="AD133" i="7"/>
  <c r="AB133" i="7"/>
  <c r="AF133" i="7"/>
  <c r="B129" i="7"/>
  <c r="F129" i="7"/>
  <c r="D129" i="7"/>
  <c r="H129" i="7"/>
  <c r="C131" i="7"/>
  <c r="AL66" i="7"/>
  <c r="AH66" i="7"/>
  <c r="AN66" i="7"/>
  <c r="AJ66" i="7"/>
  <c r="AP129" i="7"/>
  <c r="AV129" i="7"/>
  <c r="AR129" i="7"/>
  <c r="AT129" i="7"/>
  <c r="AQ131" i="7"/>
  <c r="AE131" i="7"/>
  <c r="AC131" i="7"/>
  <c r="AE66" i="7"/>
  <c r="AC66" i="7"/>
  <c r="AM129" i="7"/>
  <c r="AK129" i="7"/>
  <c r="AS66" i="14"/>
  <c r="AU64" i="14"/>
  <c r="AT64" i="14"/>
  <c r="AV64" i="14"/>
  <c r="AW64" i="14"/>
  <c r="AR64" i="14"/>
  <c r="AK66" i="14"/>
  <c r="AP66" i="14"/>
  <c r="AM66" i="14"/>
  <c r="AN66" i="14"/>
  <c r="AO66" i="14"/>
  <c r="AM64" i="7"/>
  <c r="AK64" i="7"/>
  <c r="AS62" i="7"/>
  <c r="AU62" i="7"/>
  <c r="BT66" i="14"/>
  <c r="BX66" i="14"/>
  <c r="BY66" i="14"/>
  <c r="BW66" i="14"/>
  <c r="BV66" i="14"/>
  <c r="AN131" i="7"/>
  <c r="AH131" i="7"/>
  <c r="AJ131" i="7"/>
  <c r="AI133" i="7"/>
  <c r="AN135" i="7" s="1"/>
  <c r="AL131" i="7"/>
  <c r="U133" i="7"/>
  <c r="W133" i="7"/>
  <c r="F42" i="10"/>
  <c r="U41" i="10"/>
  <c r="V41" i="10" s="1"/>
  <c r="G41" i="10"/>
  <c r="H41" i="10" s="1"/>
  <c r="I41" i="10" s="1"/>
  <c r="AK21" i="15"/>
  <c r="AL6" i="15"/>
  <c r="AK12" i="15"/>
  <c r="AK7" i="15"/>
  <c r="AK16" i="15"/>
  <c r="AK10" i="15"/>
  <c r="AK15" i="15"/>
  <c r="AK27" i="15"/>
  <c r="AK9" i="15"/>
  <c r="AK8" i="15"/>
  <c r="AK14" i="15"/>
  <c r="AK18" i="15"/>
  <c r="AK13" i="15"/>
  <c r="AK26" i="15"/>
  <c r="AK22" i="15"/>
  <c r="AK23" i="15"/>
  <c r="AK5" i="15"/>
  <c r="AK24" i="15"/>
  <c r="AK11" i="15"/>
  <c r="AK19" i="15"/>
  <c r="AK17" i="15"/>
  <c r="AK20" i="15"/>
  <c r="AK25" i="15"/>
  <c r="K39" i="10"/>
  <c r="L39" i="10" s="1"/>
  <c r="M39" i="10" s="1"/>
  <c r="N39" i="10"/>
  <c r="O39" i="10" s="1"/>
  <c r="P39" i="10" s="1"/>
  <c r="R38" i="10"/>
  <c r="T38" i="10" s="1"/>
  <c r="Q38" i="10"/>
  <c r="S38" i="10" s="1"/>
  <c r="W38" i="10" s="1"/>
  <c r="J40" i="10"/>
  <c r="CA66" i="14" l="1"/>
  <c r="CF66" i="14"/>
  <c r="CD66" i="14"/>
  <c r="CE66" i="14"/>
  <c r="CC66" i="14"/>
  <c r="AM66" i="7"/>
  <c r="AK66" i="7"/>
  <c r="AH133" i="7"/>
  <c r="AN133" i="7"/>
  <c r="AJ133" i="7"/>
  <c r="AL133" i="7"/>
  <c r="AP131" i="7"/>
  <c r="AR131" i="7"/>
  <c r="AT131" i="7"/>
  <c r="AV131" i="7"/>
  <c r="AQ133" i="7"/>
  <c r="AV135" i="7" s="1"/>
  <c r="AR66" i="14"/>
  <c r="AT66" i="14"/>
  <c r="AV66" i="14"/>
  <c r="AW66" i="14"/>
  <c r="AU66" i="14"/>
  <c r="F131" i="7"/>
  <c r="H131" i="7"/>
  <c r="C133" i="7"/>
  <c r="B131" i="7"/>
  <c r="D131" i="7"/>
  <c r="AE133" i="7"/>
  <c r="AC133" i="7"/>
  <c r="AU64" i="7"/>
  <c r="AS64" i="7"/>
  <c r="AM131" i="7"/>
  <c r="AK131" i="7"/>
  <c r="AP66" i="7"/>
  <c r="AR66" i="7"/>
  <c r="AV66" i="7"/>
  <c r="AT66" i="7"/>
  <c r="AU129" i="7"/>
  <c r="AS129" i="7"/>
  <c r="G129" i="7"/>
  <c r="E129" i="7"/>
  <c r="AL14" i="15"/>
  <c r="AL24" i="15"/>
  <c r="AL15" i="15"/>
  <c r="AL22" i="15"/>
  <c r="AL17" i="15"/>
  <c r="AL21" i="15"/>
  <c r="AL26" i="15"/>
  <c r="AL13" i="15"/>
  <c r="AL7" i="15"/>
  <c r="AL25" i="15"/>
  <c r="AL27" i="15"/>
  <c r="AL8" i="15"/>
  <c r="AL9" i="15"/>
  <c r="AM6" i="15"/>
  <c r="AL19" i="15"/>
  <c r="AL12" i="15"/>
  <c r="AL10" i="15"/>
  <c r="AL20" i="15"/>
  <c r="AL18" i="15"/>
  <c r="AL11" i="15"/>
  <c r="AL5" i="15"/>
  <c r="AL16" i="15"/>
  <c r="AL23" i="15"/>
  <c r="Q39" i="10"/>
  <c r="S39" i="10" s="1"/>
  <c r="W39" i="10" s="1"/>
  <c r="R39" i="10"/>
  <c r="T39" i="10" s="1"/>
  <c r="J41" i="10"/>
  <c r="K40" i="10"/>
  <c r="L40" i="10" s="1"/>
  <c r="M40" i="10" s="1"/>
  <c r="N40" i="10"/>
  <c r="O40" i="10" s="1"/>
  <c r="P40" i="10" s="1"/>
  <c r="F43" i="10"/>
  <c r="G42" i="10"/>
  <c r="H42" i="10" s="1"/>
  <c r="I42" i="10" s="1"/>
  <c r="U42" i="10"/>
  <c r="V42" i="10" s="1"/>
  <c r="B133" i="7" l="1"/>
  <c r="H133" i="7"/>
  <c r="F133" i="7"/>
  <c r="D133" i="7"/>
  <c r="H135" i="7"/>
  <c r="AT133" i="7"/>
  <c r="AP133" i="7"/>
  <c r="AR133" i="7"/>
  <c r="AV133" i="7"/>
  <c r="AM133" i="7"/>
  <c r="AK133" i="7"/>
  <c r="AS131" i="7"/>
  <c r="AU131" i="7"/>
  <c r="AU66" i="7"/>
  <c r="AS66" i="7"/>
  <c r="G131" i="7"/>
  <c r="E131" i="7"/>
  <c r="AM25" i="15"/>
  <c r="AM16" i="15"/>
  <c r="AN6" i="15"/>
  <c r="AM19" i="15"/>
  <c r="AM21" i="15"/>
  <c r="AM10" i="15"/>
  <c r="AM22" i="15"/>
  <c r="AM23" i="15"/>
  <c r="AM20" i="15"/>
  <c r="AM14" i="15"/>
  <c r="AM24" i="15"/>
  <c r="AM5" i="15"/>
  <c r="AM17" i="15"/>
  <c r="AM7" i="15"/>
  <c r="AM18" i="15"/>
  <c r="AM9" i="15"/>
  <c r="AM27" i="15"/>
  <c r="AM11" i="15"/>
  <c r="AM26" i="15"/>
  <c r="AM8" i="15"/>
  <c r="AM13" i="15"/>
  <c r="AM12" i="15"/>
  <c r="AM15" i="15"/>
  <c r="F44" i="10"/>
  <c r="U43" i="10"/>
  <c r="V43" i="10" s="1"/>
  <c r="G43" i="10"/>
  <c r="H43" i="10" s="1"/>
  <c r="I43" i="10" s="1"/>
  <c r="R40" i="10"/>
  <c r="T40" i="10" s="1"/>
  <c r="Q40" i="10"/>
  <c r="S40" i="10" s="1"/>
  <c r="W40" i="10" s="1"/>
  <c r="K41" i="10"/>
  <c r="L41" i="10" s="1"/>
  <c r="M41" i="10" s="1"/>
  <c r="N41" i="10"/>
  <c r="O41" i="10" s="1"/>
  <c r="P41" i="10" s="1"/>
  <c r="J42" i="10"/>
  <c r="AS133" i="7" l="1"/>
  <c r="AU133" i="7"/>
  <c r="G133" i="7"/>
  <c r="E133" i="7"/>
  <c r="K42" i="10"/>
  <c r="L42" i="10" s="1"/>
  <c r="M42" i="10" s="1"/>
  <c r="N42" i="10"/>
  <c r="O42" i="10" s="1"/>
  <c r="P42" i="10" s="1"/>
  <c r="Q41" i="10"/>
  <c r="S41" i="10" s="1"/>
  <c r="R41" i="10"/>
  <c r="T41" i="10" s="1"/>
  <c r="AN27" i="15"/>
  <c r="AN8" i="15"/>
  <c r="AO6" i="15"/>
  <c r="AN15" i="15"/>
  <c r="AN5" i="15"/>
  <c r="AN21" i="15"/>
  <c r="AN7" i="15"/>
  <c r="AN26" i="15"/>
  <c r="AN24" i="15"/>
  <c r="AN23" i="15"/>
  <c r="AN9" i="15"/>
  <c r="AN20" i="15"/>
  <c r="AN17" i="15"/>
  <c r="AN22" i="15"/>
  <c r="AN14" i="15"/>
  <c r="AN25" i="15"/>
  <c r="AN10" i="15"/>
  <c r="AN12" i="15"/>
  <c r="AN16" i="15"/>
  <c r="AN18" i="15"/>
  <c r="AN13" i="15"/>
  <c r="AN11" i="15"/>
  <c r="AN19" i="15"/>
  <c r="F45" i="10"/>
  <c r="U44" i="10"/>
  <c r="V44" i="10" s="1"/>
  <c r="G44" i="10"/>
  <c r="H44" i="10" s="1"/>
  <c r="I44" i="10" s="1"/>
  <c r="J43" i="10"/>
  <c r="W41" i="10" l="1"/>
  <c r="K43" i="10"/>
  <c r="L43" i="10" s="1"/>
  <c r="M43" i="10" s="1"/>
  <c r="N43" i="10"/>
  <c r="O43" i="10" s="1"/>
  <c r="P43" i="10" s="1"/>
  <c r="AO23" i="15"/>
  <c r="AO21" i="15"/>
  <c r="AO9" i="15"/>
  <c r="AO17" i="15"/>
  <c r="AO8" i="15"/>
  <c r="AO24" i="15"/>
  <c r="AO5" i="15"/>
  <c r="AO12" i="15"/>
  <c r="AO11" i="15"/>
  <c r="AO7" i="15"/>
  <c r="AO20" i="15"/>
  <c r="AO22" i="15"/>
  <c r="AO16" i="15"/>
  <c r="AO19" i="15"/>
  <c r="AO27" i="15"/>
  <c r="AO25" i="15"/>
  <c r="AO15" i="15"/>
  <c r="AO13" i="15"/>
  <c r="AO18" i="15"/>
  <c r="AO10" i="15"/>
  <c r="AO14" i="15"/>
  <c r="AO26" i="15"/>
  <c r="AP6" i="15"/>
  <c r="J44" i="10"/>
  <c r="F46" i="10"/>
  <c r="U45" i="10"/>
  <c r="V45" i="10" s="1"/>
  <c r="G45" i="10"/>
  <c r="H45" i="10" s="1"/>
  <c r="I45" i="10" s="1"/>
  <c r="R42" i="10"/>
  <c r="T42" i="10" s="1"/>
  <c r="Q42" i="10"/>
  <c r="S42" i="10" s="1"/>
  <c r="W42" i="10" s="1"/>
  <c r="AQ6" i="15" l="1"/>
  <c r="AP18" i="15"/>
  <c r="AP9" i="15"/>
  <c r="AP24" i="15"/>
  <c r="AP20" i="15"/>
  <c r="AP7" i="15"/>
  <c r="AP23" i="15"/>
  <c r="AP17" i="15"/>
  <c r="AP15" i="15"/>
  <c r="AP13" i="15"/>
  <c r="AP8" i="15"/>
  <c r="AP27" i="15"/>
  <c r="AP19" i="15"/>
  <c r="AP14" i="15"/>
  <c r="AP25" i="15"/>
  <c r="AP22" i="15"/>
  <c r="AP10" i="15"/>
  <c r="AP16" i="15"/>
  <c r="AP12" i="15"/>
  <c r="AP21" i="15"/>
  <c r="AP5" i="15"/>
  <c r="AP26" i="15"/>
  <c r="AP11" i="15"/>
  <c r="F47" i="10"/>
  <c r="U46" i="10"/>
  <c r="V46" i="10" s="1"/>
  <c r="G46" i="10"/>
  <c r="H46" i="10" s="1"/>
  <c r="I46" i="10" s="1"/>
  <c r="J45" i="10"/>
  <c r="K44" i="10"/>
  <c r="L44" i="10" s="1"/>
  <c r="M44" i="10" s="1"/>
  <c r="N44" i="10"/>
  <c r="O44" i="10" s="1"/>
  <c r="P44" i="10" s="1"/>
  <c r="R43" i="10"/>
  <c r="T43" i="10" s="1"/>
  <c r="Q43" i="10"/>
  <c r="S43" i="10" s="1"/>
  <c r="W43" i="10" s="1"/>
  <c r="F48" i="10" l="1"/>
  <c r="U47" i="10"/>
  <c r="V47" i="10" s="1"/>
  <c r="G47" i="10"/>
  <c r="H47" i="10" s="1"/>
  <c r="I47" i="10" s="1"/>
  <c r="N45" i="10"/>
  <c r="O45" i="10" s="1"/>
  <c r="P45" i="10" s="1"/>
  <c r="K45" i="10"/>
  <c r="L45" i="10" s="1"/>
  <c r="M45" i="10" s="1"/>
  <c r="J46" i="10"/>
  <c r="R44" i="10"/>
  <c r="T44" i="10" s="1"/>
  <c r="Q44" i="10"/>
  <c r="S44" i="10" s="1"/>
  <c r="W44" i="10" s="1"/>
  <c r="AQ22" i="15"/>
  <c r="AQ9" i="15"/>
  <c r="AQ14" i="15"/>
  <c r="AQ23" i="15"/>
  <c r="AQ21" i="15"/>
  <c r="AQ19" i="15"/>
  <c r="AQ13" i="15"/>
  <c r="AQ5" i="15"/>
  <c r="AQ8" i="15"/>
  <c r="AQ24" i="15"/>
  <c r="AQ11" i="15"/>
  <c r="AQ26" i="15"/>
  <c r="AQ16" i="15"/>
  <c r="AQ7" i="15"/>
  <c r="AQ27" i="15"/>
  <c r="AQ10" i="15"/>
  <c r="AR6" i="15"/>
  <c r="AQ17" i="15"/>
  <c r="AQ15" i="15"/>
  <c r="AQ18" i="15"/>
  <c r="AQ20" i="15"/>
  <c r="AQ25" i="15"/>
  <c r="AQ12" i="15"/>
  <c r="N46" i="10" l="1"/>
  <c r="O46" i="10" s="1"/>
  <c r="P46" i="10" s="1"/>
  <c r="K46" i="10"/>
  <c r="L46" i="10" s="1"/>
  <c r="M46" i="10" s="1"/>
  <c r="Q45" i="10"/>
  <c r="S45" i="10" s="1"/>
  <c r="W45" i="10" s="1"/>
  <c r="R45" i="10"/>
  <c r="T45" i="10" s="1"/>
  <c r="J47" i="10"/>
  <c r="AR27" i="15"/>
  <c r="AR14" i="15"/>
  <c r="AR23" i="15"/>
  <c r="AR5" i="15"/>
  <c r="AS6" i="15"/>
  <c r="AR21" i="15"/>
  <c r="AR24" i="15"/>
  <c r="AR22" i="15"/>
  <c r="AR8" i="15"/>
  <c r="AR26" i="15"/>
  <c r="AR18" i="15"/>
  <c r="AR7" i="15"/>
  <c r="AR15" i="15"/>
  <c r="AR19" i="15"/>
  <c r="AR10" i="15"/>
  <c r="AR25" i="15"/>
  <c r="AR20" i="15"/>
  <c r="AR17" i="15"/>
  <c r="AR9" i="15"/>
  <c r="AR12" i="15"/>
  <c r="AR13" i="15"/>
  <c r="AR16" i="15"/>
  <c r="AR11" i="15"/>
  <c r="U48" i="10"/>
  <c r="V48" i="10" s="1"/>
  <c r="F49" i="10"/>
  <c r="G48" i="10"/>
  <c r="H48" i="10" s="1"/>
  <c r="I48" i="10" s="1"/>
  <c r="K47" i="10" l="1"/>
  <c r="L47" i="10" s="1"/>
  <c r="M47" i="10" s="1"/>
  <c r="N47" i="10"/>
  <c r="O47" i="10" s="1"/>
  <c r="P47" i="10" s="1"/>
  <c r="J48" i="10"/>
  <c r="F50" i="10"/>
  <c r="G49" i="10"/>
  <c r="H49" i="10" s="1"/>
  <c r="I49" i="10" s="1"/>
  <c r="U49" i="10"/>
  <c r="V49" i="10" s="1"/>
  <c r="AS11" i="15"/>
  <c r="AS16" i="15"/>
  <c r="AT6" i="15"/>
  <c r="AS25" i="15"/>
  <c r="AS19" i="15"/>
  <c r="AS18" i="15"/>
  <c r="AS17" i="15"/>
  <c r="AS20" i="15"/>
  <c r="AS21" i="15"/>
  <c r="AS24" i="15"/>
  <c r="AS9" i="15"/>
  <c r="AS13" i="15"/>
  <c r="AS7" i="15"/>
  <c r="AS5" i="15"/>
  <c r="AS10" i="15"/>
  <c r="AS8" i="15"/>
  <c r="AS23" i="15"/>
  <c r="AS14" i="15"/>
  <c r="AS15" i="15"/>
  <c r="AS26" i="15"/>
  <c r="AS12" i="15"/>
  <c r="AS22" i="15"/>
  <c r="AS27" i="15"/>
  <c r="R46" i="10"/>
  <c r="T46" i="10" s="1"/>
  <c r="Q46" i="10"/>
  <c r="S46" i="10" s="1"/>
  <c r="W46" i="10" s="1"/>
  <c r="J49" i="10" l="1"/>
  <c r="G50" i="10"/>
  <c r="H50" i="10" s="1"/>
  <c r="I50" i="10" s="1"/>
  <c r="F51" i="10"/>
  <c r="U50" i="10"/>
  <c r="V50" i="10" s="1"/>
  <c r="N48" i="10"/>
  <c r="O48" i="10" s="1"/>
  <c r="P48" i="10" s="1"/>
  <c r="K48" i="10"/>
  <c r="L48" i="10" s="1"/>
  <c r="M48" i="10" s="1"/>
  <c r="AT15" i="15"/>
  <c r="AW4" i="15"/>
  <c r="AT10" i="15"/>
  <c r="AT21" i="15"/>
  <c r="AT12" i="15"/>
  <c r="AT5" i="15"/>
  <c r="AT25" i="15"/>
  <c r="AT11" i="15"/>
  <c r="AT14" i="15"/>
  <c r="AT16" i="15"/>
  <c r="AT23" i="15"/>
  <c r="AT7" i="15"/>
  <c r="AT19" i="15"/>
  <c r="AT8" i="15"/>
  <c r="AT18" i="15"/>
  <c r="AT27" i="15"/>
  <c r="AT13" i="15"/>
  <c r="AT9" i="15"/>
  <c r="AU6" i="15"/>
  <c r="AT17" i="15"/>
  <c r="AT26" i="15"/>
  <c r="AT22" i="15"/>
  <c r="AT24" i="15"/>
  <c r="AT20" i="15"/>
  <c r="Q47" i="10"/>
  <c r="S47" i="10" s="1"/>
  <c r="W47" i="10" s="1"/>
  <c r="R47" i="10"/>
  <c r="T47" i="10" s="1"/>
  <c r="R48" i="10" l="1"/>
  <c r="T48" i="10" s="1"/>
  <c r="Q48" i="10"/>
  <c r="S48" i="10" s="1"/>
  <c r="W48" i="10" s="1"/>
  <c r="G51" i="10"/>
  <c r="H51" i="10" s="1"/>
  <c r="I51" i="10" s="1"/>
  <c r="F52" i="10"/>
  <c r="U51" i="10"/>
  <c r="V51" i="10" s="1"/>
  <c r="J50" i="10"/>
  <c r="AU24" i="15"/>
  <c r="AU13" i="15"/>
  <c r="AU8" i="15"/>
  <c r="AU11" i="15"/>
  <c r="AU15" i="15"/>
  <c r="AU18" i="15"/>
  <c r="AU14" i="15"/>
  <c r="AU26" i="15"/>
  <c r="AU27" i="15"/>
  <c r="AU7" i="15"/>
  <c r="AU22" i="15"/>
  <c r="AV6" i="15"/>
  <c r="AU5" i="15"/>
  <c r="AU20" i="15"/>
  <c r="AU19" i="15"/>
  <c r="AU9" i="15"/>
  <c r="AU17" i="15"/>
  <c r="AU23" i="15"/>
  <c r="AU21" i="15"/>
  <c r="AU25" i="15"/>
  <c r="AU16" i="15"/>
  <c r="AU12" i="15"/>
  <c r="AU10" i="15"/>
  <c r="K49" i="10"/>
  <c r="L49" i="10" s="1"/>
  <c r="M49" i="10" s="1"/>
  <c r="N49" i="10"/>
  <c r="O49" i="10" s="1"/>
  <c r="P49" i="10" s="1"/>
  <c r="Q49" i="10" l="1"/>
  <c r="S49" i="10" s="1"/>
  <c r="R49" i="10"/>
  <c r="T49" i="10" s="1"/>
  <c r="N50" i="10"/>
  <c r="O50" i="10" s="1"/>
  <c r="P50" i="10" s="1"/>
  <c r="K50" i="10"/>
  <c r="L50" i="10" s="1"/>
  <c r="M50" i="10" s="1"/>
  <c r="U52" i="10"/>
  <c r="V52" i="10" s="1"/>
  <c r="F53" i="10"/>
  <c r="G52" i="10"/>
  <c r="H52" i="10" s="1"/>
  <c r="I52" i="10" s="1"/>
  <c r="AV16" i="15"/>
  <c r="AV8" i="15"/>
  <c r="AV14" i="15"/>
  <c r="AV12" i="15"/>
  <c r="AW6" i="15"/>
  <c r="AV11" i="15"/>
  <c r="AV25" i="15"/>
  <c r="AV15" i="15"/>
  <c r="AV26" i="15"/>
  <c r="AV27" i="15"/>
  <c r="AV18" i="15"/>
  <c r="AV22" i="15"/>
  <c r="AV5" i="15"/>
  <c r="AV20" i="15"/>
  <c r="AV23" i="15"/>
  <c r="AV24" i="15"/>
  <c r="AV17" i="15"/>
  <c r="AV13" i="15"/>
  <c r="AV7" i="15"/>
  <c r="AV10" i="15"/>
  <c r="AV9" i="15"/>
  <c r="AV21" i="15"/>
  <c r="AV19" i="15"/>
  <c r="J51" i="10"/>
  <c r="W49" i="10" l="1"/>
  <c r="J52" i="10"/>
  <c r="K51" i="10"/>
  <c r="L51" i="10" s="1"/>
  <c r="M51" i="10" s="1"/>
  <c r="N51" i="10"/>
  <c r="O51" i="10" s="1"/>
  <c r="P51" i="10" s="1"/>
  <c r="F54" i="10"/>
  <c r="U53" i="10"/>
  <c r="V53" i="10" s="1"/>
  <c r="G53" i="10"/>
  <c r="H53" i="10" s="1"/>
  <c r="I53" i="10" s="1"/>
  <c r="AW14" i="15"/>
  <c r="AW20" i="15"/>
  <c r="AW23" i="15"/>
  <c r="AW19" i="15"/>
  <c r="AW18" i="15"/>
  <c r="AW25" i="15"/>
  <c r="AW15" i="15"/>
  <c r="AW8" i="15"/>
  <c r="AW7" i="15"/>
  <c r="AW12" i="15"/>
  <c r="AW22" i="15"/>
  <c r="AW10" i="15"/>
  <c r="AW9" i="15"/>
  <c r="AX6" i="15"/>
  <c r="AW27" i="15"/>
  <c r="AW17" i="15"/>
  <c r="AW16" i="15"/>
  <c r="AW21" i="15"/>
  <c r="AW24" i="15"/>
  <c r="AW26" i="15"/>
  <c r="AW5" i="15"/>
  <c r="AW13" i="15"/>
  <c r="AW11" i="15"/>
  <c r="R50" i="10"/>
  <c r="T50" i="10" s="1"/>
  <c r="Q50" i="10"/>
  <c r="S50" i="10" s="1"/>
  <c r="W50" i="10" s="1"/>
  <c r="J53" i="10" l="1"/>
  <c r="AX20" i="15"/>
  <c r="AX22" i="15"/>
  <c r="AX24" i="15"/>
  <c r="AX11" i="15"/>
  <c r="AX16" i="15"/>
  <c r="AY6" i="15"/>
  <c r="AX19" i="15"/>
  <c r="AX25" i="15"/>
  <c r="AX5" i="15"/>
  <c r="AX15" i="15"/>
  <c r="AX21" i="15"/>
  <c r="AX17" i="15"/>
  <c r="AX27" i="15"/>
  <c r="AX9" i="15"/>
  <c r="AX7" i="15"/>
  <c r="AX13" i="15"/>
  <c r="AX14" i="15"/>
  <c r="AX8" i="15"/>
  <c r="AX12" i="15"/>
  <c r="AX23" i="15"/>
  <c r="AX26" i="15"/>
  <c r="AX18" i="15"/>
  <c r="AX10" i="15"/>
  <c r="U54" i="10"/>
  <c r="V54" i="10" s="1"/>
  <c r="F55" i="10"/>
  <c r="G54" i="10"/>
  <c r="H54" i="10" s="1"/>
  <c r="I54" i="10" s="1"/>
  <c r="R51" i="10"/>
  <c r="T51" i="10" s="1"/>
  <c r="Q51" i="10"/>
  <c r="S51" i="10" s="1"/>
  <c r="W51" i="10" s="1"/>
  <c r="N52" i="10"/>
  <c r="O52" i="10" s="1"/>
  <c r="P52" i="10" s="1"/>
  <c r="K52" i="10"/>
  <c r="L52" i="10" s="1"/>
  <c r="M52" i="10" s="1"/>
  <c r="AY5" i="15" l="1"/>
  <c r="AY16" i="15"/>
  <c r="AY13" i="15"/>
  <c r="AY7" i="15"/>
  <c r="AY18" i="15"/>
  <c r="AY11" i="15"/>
  <c r="AY19" i="15"/>
  <c r="AY27" i="15"/>
  <c r="AY15" i="15"/>
  <c r="AY10" i="15"/>
  <c r="AY20" i="15"/>
  <c r="AY17" i="15"/>
  <c r="AY12" i="15"/>
  <c r="AY24" i="15"/>
  <c r="AY21" i="15"/>
  <c r="AY22" i="15"/>
  <c r="AY9" i="15"/>
  <c r="AY26" i="15"/>
  <c r="AY23" i="15"/>
  <c r="AY14" i="15"/>
  <c r="AY25" i="15"/>
  <c r="AY8" i="15"/>
  <c r="AZ6" i="15"/>
  <c r="R52" i="10"/>
  <c r="T52" i="10" s="1"/>
  <c r="Q52" i="10"/>
  <c r="S52" i="10" s="1"/>
  <c r="W52" i="10" s="1"/>
  <c r="N53" i="10"/>
  <c r="O53" i="10" s="1"/>
  <c r="P53" i="10" s="1"/>
  <c r="K53" i="10"/>
  <c r="L53" i="10" s="1"/>
  <c r="M53" i="10" s="1"/>
  <c r="J54" i="10"/>
  <c r="F56" i="10"/>
  <c r="U55" i="10"/>
  <c r="V55" i="10" s="1"/>
  <c r="G55" i="10"/>
  <c r="H55" i="10" s="1"/>
  <c r="I55" i="10" s="1"/>
  <c r="AZ26" i="15" l="1"/>
  <c r="AZ12" i="15"/>
  <c r="AZ20" i="15"/>
  <c r="AZ11" i="15"/>
  <c r="AZ21" i="15"/>
  <c r="AZ22" i="15"/>
  <c r="AZ23" i="15"/>
  <c r="AZ9" i="15"/>
  <c r="AZ16" i="15"/>
  <c r="AZ18" i="15"/>
  <c r="AZ27" i="15"/>
  <c r="AZ10" i="15"/>
  <c r="AZ5" i="15"/>
  <c r="AZ24" i="15"/>
  <c r="AZ7" i="15"/>
  <c r="AZ17" i="15"/>
  <c r="AZ13" i="15"/>
  <c r="AZ25" i="15"/>
  <c r="AZ15" i="15"/>
  <c r="AZ8" i="15"/>
  <c r="BA6" i="15"/>
  <c r="AZ19" i="15"/>
  <c r="AZ14" i="15"/>
  <c r="U56" i="10"/>
  <c r="V56" i="10" s="1"/>
  <c r="F57" i="10"/>
  <c r="G56" i="10"/>
  <c r="H56" i="10" s="1"/>
  <c r="I56" i="10" s="1"/>
  <c r="N54" i="10"/>
  <c r="O54" i="10" s="1"/>
  <c r="P54" i="10" s="1"/>
  <c r="K54" i="10"/>
  <c r="L54" i="10" s="1"/>
  <c r="M54" i="10" s="1"/>
  <c r="J55" i="10"/>
  <c r="Q53" i="10"/>
  <c r="S53" i="10" s="1"/>
  <c r="W53" i="10" s="1"/>
  <c r="R53" i="10"/>
  <c r="T53" i="10" s="1"/>
  <c r="K55" i="10" l="1"/>
  <c r="L55" i="10" s="1"/>
  <c r="M55" i="10" s="1"/>
  <c r="N55" i="10"/>
  <c r="O55" i="10" s="1"/>
  <c r="P55" i="10" s="1"/>
  <c r="Q54" i="10"/>
  <c r="S54" i="10" s="1"/>
  <c r="W54" i="10" s="1"/>
  <c r="R54" i="10"/>
  <c r="T54" i="10" s="1"/>
  <c r="BA12" i="15"/>
  <c r="BA16" i="15"/>
  <c r="BA13" i="15"/>
  <c r="BA23" i="15"/>
  <c r="BA10" i="15"/>
  <c r="BA20" i="15"/>
  <c r="BA21" i="15"/>
  <c r="BA27" i="15"/>
  <c r="BA11" i="15"/>
  <c r="BA5" i="15"/>
  <c r="BA25" i="15"/>
  <c r="BA19" i="15"/>
  <c r="BA14" i="15"/>
  <c r="BA15" i="15"/>
  <c r="BA8" i="15"/>
  <c r="BB6" i="15"/>
  <c r="BA26" i="15"/>
  <c r="BA18" i="15"/>
  <c r="BA9" i="15"/>
  <c r="BA22" i="15"/>
  <c r="BA17" i="15"/>
  <c r="BA24" i="15"/>
  <c r="BA7" i="15"/>
  <c r="J56" i="10"/>
  <c r="F58" i="10"/>
  <c r="U57" i="10"/>
  <c r="V57" i="10" s="1"/>
  <c r="G57" i="10"/>
  <c r="H57" i="10" s="1"/>
  <c r="I57" i="10" s="1"/>
  <c r="J57" i="10" l="1"/>
  <c r="N56" i="10"/>
  <c r="O56" i="10" s="1"/>
  <c r="P56" i="10" s="1"/>
  <c r="K56" i="10"/>
  <c r="L56" i="10" s="1"/>
  <c r="M56" i="10" s="1"/>
  <c r="R55" i="10"/>
  <c r="T55" i="10" s="1"/>
  <c r="Q55" i="10"/>
  <c r="S55" i="10" s="1"/>
  <c r="W55" i="10" s="1"/>
  <c r="U58" i="10"/>
  <c r="V58" i="10" s="1"/>
  <c r="F59" i="10"/>
  <c r="G58" i="10"/>
  <c r="H58" i="10" s="1"/>
  <c r="I58" i="10" s="1"/>
  <c r="BB19" i="15"/>
  <c r="BB13" i="15"/>
  <c r="BB23" i="15"/>
  <c r="BB9" i="15"/>
  <c r="BB15" i="15"/>
  <c r="BB17" i="15"/>
  <c r="BB10" i="15"/>
  <c r="BB26" i="15"/>
  <c r="BB7" i="15"/>
  <c r="BB14" i="15"/>
  <c r="BB8" i="15"/>
  <c r="BB5" i="15"/>
  <c r="BB16" i="15"/>
  <c r="BB20" i="15"/>
  <c r="BB18" i="15"/>
  <c r="BB24" i="15"/>
  <c r="BB22" i="15"/>
  <c r="BB11" i="15"/>
  <c r="BB25" i="15"/>
  <c r="BB21" i="15"/>
  <c r="BC6" i="15"/>
  <c r="BB27" i="15"/>
  <c r="BB12" i="15"/>
  <c r="G59" i="10" l="1"/>
  <c r="H59" i="10" s="1"/>
  <c r="I59" i="10" s="1"/>
  <c r="U59" i="10"/>
  <c r="V59" i="10" s="1"/>
  <c r="F60" i="10"/>
  <c r="Q56" i="10"/>
  <c r="S56" i="10" s="1"/>
  <c r="W56" i="10" s="1"/>
  <c r="R56" i="10"/>
  <c r="T56" i="10" s="1"/>
  <c r="BC20" i="15"/>
  <c r="BC15" i="15"/>
  <c r="BC12" i="15"/>
  <c r="BC23" i="15"/>
  <c r="BC8" i="15"/>
  <c r="BC10" i="15"/>
  <c r="BC19" i="15"/>
  <c r="BC5" i="15"/>
  <c r="BC11" i="15"/>
  <c r="BC16" i="15"/>
  <c r="BC18" i="15"/>
  <c r="BD6" i="15"/>
  <c r="BC25" i="15"/>
  <c r="BC7" i="15"/>
  <c r="BC14" i="15"/>
  <c r="BC13" i="15"/>
  <c r="BC22" i="15"/>
  <c r="BC24" i="15"/>
  <c r="BC27" i="15"/>
  <c r="BC21" i="15"/>
  <c r="BC9" i="15"/>
  <c r="BC26" i="15"/>
  <c r="BC17" i="15"/>
  <c r="J58" i="10"/>
  <c r="K57" i="10"/>
  <c r="L57" i="10" s="1"/>
  <c r="M57" i="10" s="1"/>
  <c r="N57" i="10"/>
  <c r="O57" i="10" s="1"/>
  <c r="P57" i="10" s="1"/>
  <c r="Q57" i="10" l="1"/>
  <c r="S57" i="10" s="1"/>
  <c r="W57" i="10" s="1"/>
  <c r="R57" i="10"/>
  <c r="T57" i="10" s="1"/>
  <c r="G60" i="10"/>
  <c r="H60" i="10" s="1"/>
  <c r="I60" i="10" s="1"/>
  <c r="F61" i="10"/>
  <c r="U60" i="10"/>
  <c r="V60" i="10" s="1"/>
  <c r="K58" i="10"/>
  <c r="L58" i="10" s="1"/>
  <c r="M58" i="10" s="1"/>
  <c r="N58" i="10"/>
  <c r="O58" i="10" s="1"/>
  <c r="P58" i="10" s="1"/>
  <c r="BD5" i="15"/>
  <c r="BD11" i="15"/>
  <c r="BD14" i="15"/>
  <c r="BE6" i="15"/>
  <c r="BD24" i="15"/>
  <c r="BD12" i="15"/>
  <c r="BD16" i="15"/>
  <c r="BD7" i="15"/>
  <c r="BD23" i="15"/>
  <c r="BD21" i="15"/>
  <c r="BD8" i="15"/>
  <c r="BD13" i="15"/>
  <c r="BD19" i="15"/>
  <c r="BD18" i="15"/>
  <c r="BD26" i="15"/>
  <c r="BD22" i="15"/>
  <c r="BD25" i="15"/>
  <c r="BD27" i="15"/>
  <c r="BD17" i="15"/>
  <c r="BD20" i="15"/>
  <c r="BD9" i="15"/>
  <c r="BD10" i="15"/>
  <c r="BD15" i="15"/>
  <c r="J59" i="10"/>
  <c r="R58" i="10" l="1"/>
  <c r="T58" i="10" s="1"/>
  <c r="Q58" i="10"/>
  <c r="S58" i="10" s="1"/>
  <c r="W58" i="10" s="1"/>
  <c r="K59" i="10"/>
  <c r="L59" i="10" s="1"/>
  <c r="M59" i="10" s="1"/>
  <c r="N59" i="10"/>
  <c r="O59" i="10" s="1"/>
  <c r="P59" i="10" s="1"/>
  <c r="F62" i="10"/>
  <c r="U61" i="10"/>
  <c r="V61" i="10" s="1"/>
  <c r="G61" i="10"/>
  <c r="H61" i="10" s="1"/>
  <c r="I61" i="10" s="1"/>
  <c r="BE7" i="15"/>
  <c r="BE12" i="15"/>
  <c r="BE24" i="15"/>
  <c r="BE15" i="15"/>
  <c r="BE19" i="15"/>
  <c r="BE22" i="15"/>
  <c r="BE16" i="15"/>
  <c r="BE23" i="15"/>
  <c r="BE17" i="15"/>
  <c r="BE13" i="15"/>
  <c r="BE9" i="15"/>
  <c r="BE21" i="15"/>
  <c r="BE11" i="15"/>
  <c r="BE14" i="15"/>
  <c r="BE27" i="15"/>
  <c r="BE8" i="15"/>
  <c r="BE5" i="15"/>
  <c r="BE18" i="15"/>
  <c r="BF6" i="15"/>
  <c r="BE20" i="15"/>
  <c r="BE10" i="15"/>
  <c r="BE25" i="15"/>
  <c r="BE26" i="15"/>
  <c r="J60" i="10"/>
  <c r="J61" i="10" l="1"/>
  <c r="U62" i="10"/>
  <c r="V62" i="10" s="1"/>
  <c r="F63" i="10"/>
  <c r="G62" i="10"/>
  <c r="H62" i="10" s="1"/>
  <c r="I62" i="10" s="1"/>
  <c r="R59" i="10"/>
  <c r="T59" i="10" s="1"/>
  <c r="Q59" i="10"/>
  <c r="S59" i="10" s="1"/>
  <c r="W59" i="10" s="1"/>
  <c r="N60" i="10"/>
  <c r="O60" i="10" s="1"/>
  <c r="P60" i="10" s="1"/>
  <c r="K60" i="10"/>
  <c r="L60" i="10" s="1"/>
  <c r="M60" i="10" s="1"/>
  <c r="BF20" i="15"/>
  <c r="BF26" i="15"/>
  <c r="BF14" i="15"/>
  <c r="BF13" i="15"/>
  <c r="BF25" i="15"/>
  <c r="BF19" i="15"/>
  <c r="BF7" i="15"/>
  <c r="BF11" i="15"/>
  <c r="BF10" i="15"/>
  <c r="BF18" i="15"/>
  <c r="BF8" i="15"/>
  <c r="BF16" i="15"/>
  <c r="BF21" i="15"/>
  <c r="BF5" i="15"/>
  <c r="BG6" i="15"/>
  <c r="BF17" i="15"/>
  <c r="BF27" i="15"/>
  <c r="BF22" i="15"/>
  <c r="BF9" i="15"/>
  <c r="BF12" i="15"/>
  <c r="BF24" i="15"/>
  <c r="BF15" i="15"/>
  <c r="BF23" i="15"/>
  <c r="R60" i="10" l="1"/>
  <c r="T60" i="10" s="1"/>
  <c r="Q60" i="10"/>
  <c r="S60" i="10" s="1"/>
  <c r="W60" i="10" s="1"/>
  <c r="J62" i="10"/>
  <c r="BG13" i="15"/>
  <c r="BG24" i="15"/>
  <c r="BG12" i="15"/>
  <c r="BH6" i="15"/>
  <c r="BG9" i="15"/>
  <c r="BG22" i="15"/>
  <c r="BG27" i="15"/>
  <c r="BG26" i="15"/>
  <c r="BG21" i="15"/>
  <c r="BG14" i="15"/>
  <c r="BG16" i="15"/>
  <c r="BG20" i="15"/>
  <c r="BG18" i="15"/>
  <c r="BG15" i="15"/>
  <c r="BG7" i="15"/>
  <c r="BG23" i="15"/>
  <c r="BG10" i="15"/>
  <c r="BG17" i="15"/>
  <c r="BG11" i="15"/>
  <c r="BG8" i="15"/>
  <c r="BG19" i="15"/>
  <c r="BG25" i="15"/>
  <c r="BG5" i="15"/>
  <c r="F64" i="10"/>
  <c r="U63" i="10"/>
  <c r="V63" i="10" s="1"/>
  <c r="G63" i="10"/>
  <c r="H63" i="10" s="1"/>
  <c r="I63" i="10" s="1"/>
  <c r="K61" i="10"/>
  <c r="L61" i="10" s="1"/>
  <c r="M61" i="10" s="1"/>
  <c r="N61" i="10"/>
  <c r="O61" i="10" s="1"/>
  <c r="P61" i="10" s="1"/>
  <c r="R61" i="10" l="1"/>
  <c r="T61" i="10" s="1"/>
  <c r="Q61" i="10"/>
  <c r="S61" i="10" s="1"/>
  <c r="W61" i="10" s="1"/>
  <c r="BH7" i="15"/>
  <c r="BH17" i="15"/>
  <c r="BH23" i="15"/>
  <c r="BH25" i="15"/>
  <c r="BH5" i="15"/>
  <c r="BH26" i="15"/>
  <c r="BH22" i="15"/>
  <c r="BH13" i="15"/>
  <c r="BH12" i="15"/>
  <c r="BH14" i="15"/>
  <c r="BH18" i="15"/>
  <c r="BH10" i="15"/>
  <c r="BI6" i="15"/>
  <c r="BH11" i="15"/>
  <c r="BH24" i="15"/>
  <c r="BH8" i="15"/>
  <c r="BH20" i="15"/>
  <c r="BH9" i="15"/>
  <c r="BH27" i="15"/>
  <c r="BH19" i="15"/>
  <c r="BH21" i="15"/>
  <c r="BH15" i="15"/>
  <c r="BH16" i="15"/>
  <c r="J63" i="10"/>
  <c r="F65" i="10"/>
  <c r="G64" i="10"/>
  <c r="H64" i="10" s="1"/>
  <c r="I64" i="10" s="1"/>
  <c r="U64" i="10"/>
  <c r="V64" i="10" s="1"/>
  <c r="K62" i="10"/>
  <c r="L62" i="10" s="1"/>
  <c r="M62" i="10" s="1"/>
  <c r="N62" i="10"/>
  <c r="O62" i="10" s="1"/>
  <c r="P62" i="10" s="1"/>
  <c r="J64" i="10" l="1"/>
  <c r="F66" i="10"/>
  <c r="U65" i="10"/>
  <c r="V65" i="10" s="1"/>
  <c r="G65" i="10"/>
  <c r="H65" i="10" s="1"/>
  <c r="I65" i="10" s="1"/>
  <c r="R62" i="10"/>
  <c r="T62" i="10" s="1"/>
  <c r="Q62" i="10"/>
  <c r="S62" i="10" s="1"/>
  <c r="W62" i="10" s="1"/>
  <c r="BI22" i="15"/>
  <c r="BI14" i="15"/>
  <c r="BI26" i="15"/>
  <c r="BI19" i="15"/>
  <c r="BJ6" i="15"/>
  <c r="BI27" i="15"/>
  <c r="BI5" i="15"/>
  <c r="BI13" i="15"/>
  <c r="BI21" i="15"/>
  <c r="BI23" i="15"/>
  <c r="BI18" i="15"/>
  <c r="BI20" i="15"/>
  <c r="BI17" i="15"/>
  <c r="BI11" i="15"/>
  <c r="BI25" i="15"/>
  <c r="BI8" i="15"/>
  <c r="BI12" i="15"/>
  <c r="BI16" i="15"/>
  <c r="BI7" i="15"/>
  <c r="BI15" i="15"/>
  <c r="BI9" i="15"/>
  <c r="BI10" i="15"/>
  <c r="BI24" i="15"/>
  <c r="N63" i="10"/>
  <c r="O63" i="10" s="1"/>
  <c r="P63" i="10" s="1"/>
  <c r="K63" i="10"/>
  <c r="L63" i="10" s="1"/>
  <c r="M63" i="10" s="1"/>
  <c r="J65" i="10" l="1"/>
  <c r="BJ7" i="15"/>
  <c r="BJ21" i="15"/>
  <c r="BJ13" i="15"/>
  <c r="BJ25" i="15"/>
  <c r="BJ23" i="15"/>
  <c r="BJ19" i="15"/>
  <c r="BJ8" i="15"/>
  <c r="BJ16" i="15"/>
  <c r="BJ26" i="15"/>
  <c r="BJ9" i="15"/>
  <c r="BJ15" i="15"/>
  <c r="BJ27" i="15"/>
  <c r="BJ20" i="15"/>
  <c r="BJ22" i="15"/>
  <c r="BJ12" i="15"/>
  <c r="BK6" i="15"/>
  <c r="BJ18" i="15"/>
  <c r="BJ14" i="15"/>
  <c r="BJ5" i="15"/>
  <c r="BJ10" i="15"/>
  <c r="BJ11" i="15"/>
  <c r="BJ17" i="15"/>
  <c r="BJ24" i="15"/>
  <c r="G66" i="10"/>
  <c r="H66" i="10" s="1"/>
  <c r="I66" i="10" s="1"/>
  <c r="U66" i="10"/>
  <c r="V66" i="10" s="1"/>
  <c r="F67" i="10"/>
  <c r="K64" i="10"/>
  <c r="L64" i="10" s="1"/>
  <c r="M64" i="10" s="1"/>
  <c r="N64" i="10"/>
  <c r="O64" i="10" s="1"/>
  <c r="P64" i="10" s="1"/>
  <c r="R63" i="10"/>
  <c r="T63" i="10" s="1"/>
  <c r="Q63" i="10"/>
  <c r="S63" i="10" s="1"/>
  <c r="W63" i="10" s="1"/>
  <c r="F68" i="10" l="1"/>
  <c r="U67" i="10"/>
  <c r="V67" i="10" s="1"/>
  <c r="G67" i="10"/>
  <c r="H67" i="10" s="1"/>
  <c r="I67" i="10" s="1"/>
  <c r="Q64" i="10"/>
  <c r="S64" i="10" s="1"/>
  <c r="W64" i="10" s="1"/>
  <c r="R64" i="10"/>
  <c r="T64" i="10" s="1"/>
  <c r="J66" i="10"/>
  <c r="BK13" i="15"/>
  <c r="BK15" i="15"/>
  <c r="BK17" i="15"/>
  <c r="BK5" i="15"/>
  <c r="BK12" i="15"/>
  <c r="BK20" i="15"/>
  <c r="BK26" i="15"/>
  <c r="BK25" i="15"/>
  <c r="BK22" i="15"/>
  <c r="BK11" i="15"/>
  <c r="BK14" i="15"/>
  <c r="BK9" i="15"/>
  <c r="BK8" i="15"/>
  <c r="BK10" i="15"/>
  <c r="BL6" i="15"/>
  <c r="BK27" i="15"/>
  <c r="BK18" i="15"/>
  <c r="BK23" i="15"/>
  <c r="BK19" i="15"/>
  <c r="BK21" i="15"/>
  <c r="BK16" i="15"/>
  <c r="BK24" i="15"/>
  <c r="K65" i="10"/>
  <c r="L65" i="10" s="1"/>
  <c r="M65" i="10" s="1"/>
  <c r="N65" i="10"/>
  <c r="O65" i="10" s="1"/>
  <c r="P65" i="10" s="1"/>
  <c r="R65" i="10" l="1"/>
  <c r="T65" i="10" s="1"/>
  <c r="Q65" i="10"/>
  <c r="S65" i="10" s="1"/>
  <c r="W65" i="10" s="1"/>
  <c r="BL8" i="15"/>
  <c r="BL26" i="15"/>
  <c r="BL13" i="15"/>
  <c r="BL21" i="15"/>
  <c r="BL5" i="15"/>
  <c r="BL15" i="15"/>
  <c r="BL27" i="15"/>
  <c r="BL17" i="15"/>
  <c r="BL25" i="15"/>
  <c r="BL20" i="15"/>
  <c r="BL11" i="15"/>
  <c r="BL9" i="15"/>
  <c r="BL18" i="15"/>
  <c r="BL14" i="15"/>
  <c r="BL24" i="15"/>
  <c r="BL16" i="15"/>
  <c r="BL23" i="15"/>
  <c r="BL10" i="15"/>
  <c r="BL22" i="15"/>
  <c r="BL19" i="15"/>
  <c r="BL12" i="15"/>
  <c r="N66" i="10"/>
  <c r="O66" i="10" s="1"/>
  <c r="P66" i="10" s="1"/>
  <c r="K66" i="10"/>
  <c r="L66" i="10" s="1"/>
  <c r="M66" i="10" s="1"/>
  <c r="J67" i="10"/>
  <c r="F69" i="10"/>
  <c r="G68" i="10"/>
  <c r="H68" i="10" s="1"/>
  <c r="I68" i="10" s="1"/>
  <c r="U68" i="10"/>
  <c r="V68" i="10" s="1"/>
  <c r="R66" i="10" l="1"/>
  <c r="T66" i="10" s="1"/>
  <c r="Q66" i="10"/>
  <c r="S66" i="10" s="1"/>
  <c r="W66" i="10" s="1"/>
  <c r="N67" i="10"/>
  <c r="O67" i="10" s="1"/>
  <c r="P67" i="10" s="1"/>
  <c r="K67" i="10"/>
  <c r="L67" i="10" s="1"/>
  <c r="M67" i="10" s="1"/>
  <c r="J68" i="10"/>
  <c r="U69" i="10"/>
  <c r="V69" i="10" s="1"/>
  <c r="G69" i="10"/>
  <c r="H69" i="10" s="1"/>
  <c r="I69" i="10" s="1"/>
  <c r="F70" i="10"/>
  <c r="J69" i="10" l="1"/>
  <c r="K68" i="10"/>
  <c r="L68" i="10" s="1"/>
  <c r="M68" i="10" s="1"/>
  <c r="N68" i="10"/>
  <c r="O68" i="10" s="1"/>
  <c r="P68" i="10" s="1"/>
  <c r="R67" i="10"/>
  <c r="T67" i="10" s="1"/>
  <c r="Q67" i="10"/>
  <c r="S67" i="10" s="1"/>
  <c r="W67" i="10" s="1"/>
  <c r="F71" i="10"/>
  <c r="U70" i="10"/>
  <c r="V70" i="10" s="1"/>
  <c r="G70" i="10"/>
  <c r="H70" i="10" s="1"/>
  <c r="I70" i="10" s="1"/>
  <c r="R68" i="10" l="1"/>
  <c r="T68" i="10" s="1"/>
  <c r="Q68" i="10"/>
  <c r="S68" i="10" s="1"/>
  <c r="W68" i="10" s="1"/>
  <c r="U71" i="10"/>
  <c r="V71" i="10" s="1"/>
  <c r="F72" i="10"/>
  <c r="G71" i="10"/>
  <c r="H71" i="10" s="1"/>
  <c r="I71" i="10" s="1"/>
  <c r="J70" i="10"/>
  <c r="N69" i="10"/>
  <c r="O69" i="10" s="1"/>
  <c r="P69" i="10" s="1"/>
  <c r="K69" i="10"/>
  <c r="L69" i="10" s="1"/>
  <c r="M69" i="10" s="1"/>
  <c r="N70" i="10" l="1"/>
  <c r="O70" i="10" s="1"/>
  <c r="P70" i="10" s="1"/>
  <c r="K70" i="10"/>
  <c r="L70" i="10" s="1"/>
  <c r="M70" i="10" s="1"/>
  <c r="R69" i="10"/>
  <c r="T69" i="10" s="1"/>
  <c r="Q69" i="10"/>
  <c r="S69" i="10" s="1"/>
  <c r="W69" i="10" s="1"/>
  <c r="G72" i="10"/>
  <c r="H72" i="10" s="1"/>
  <c r="I72" i="10" s="1"/>
  <c r="U72" i="10"/>
  <c r="V72" i="10" s="1"/>
  <c r="F73" i="10"/>
  <c r="J71" i="10"/>
  <c r="J72" i="10" l="1"/>
  <c r="U73" i="10"/>
  <c r="V73" i="10" s="1"/>
  <c r="F74" i="10"/>
  <c r="G73" i="10"/>
  <c r="H73" i="10" s="1"/>
  <c r="I73" i="10" s="1"/>
  <c r="K71" i="10"/>
  <c r="L71" i="10" s="1"/>
  <c r="M71" i="10" s="1"/>
  <c r="N71" i="10"/>
  <c r="O71" i="10" s="1"/>
  <c r="P71" i="10" s="1"/>
  <c r="R70" i="10"/>
  <c r="T70" i="10" s="1"/>
  <c r="Q70" i="10"/>
  <c r="S70" i="10" s="1"/>
  <c r="W70" i="10" s="1"/>
  <c r="Q71" i="10" l="1"/>
  <c r="S71" i="10" s="1"/>
  <c r="W71" i="10" s="1"/>
  <c r="R71" i="10"/>
  <c r="T71" i="10" s="1"/>
  <c r="J73" i="10"/>
  <c r="F75" i="10"/>
  <c r="U74" i="10"/>
  <c r="V74" i="10" s="1"/>
  <c r="G74" i="10"/>
  <c r="H74" i="10" s="1"/>
  <c r="I74" i="10" s="1"/>
  <c r="K72" i="10"/>
  <c r="L72" i="10" s="1"/>
  <c r="M72" i="10" s="1"/>
  <c r="N72" i="10"/>
  <c r="O72" i="10" s="1"/>
  <c r="P72" i="10" s="1"/>
  <c r="Q72" i="10" l="1"/>
  <c r="S72" i="10" s="1"/>
  <c r="R72" i="10"/>
  <c r="T72" i="10" s="1"/>
  <c r="J74" i="10"/>
  <c r="K73" i="10"/>
  <c r="L73" i="10" s="1"/>
  <c r="M73" i="10" s="1"/>
  <c r="N73" i="10"/>
  <c r="O73" i="10" s="1"/>
  <c r="P73" i="10" s="1"/>
  <c r="F76" i="10"/>
  <c r="U75" i="10"/>
  <c r="V75" i="10" s="1"/>
  <c r="G75" i="10"/>
  <c r="H75" i="10" s="1"/>
  <c r="I75" i="10" s="1"/>
  <c r="W72" i="10" l="1"/>
  <c r="J75" i="10"/>
  <c r="G76" i="10"/>
  <c r="H76" i="10" s="1"/>
  <c r="I76" i="10" s="1"/>
  <c r="U76" i="10"/>
  <c r="V76" i="10" s="1"/>
  <c r="F77" i="10"/>
  <c r="K74" i="10"/>
  <c r="L74" i="10" s="1"/>
  <c r="M74" i="10" s="1"/>
  <c r="N74" i="10"/>
  <c r="O74" i="10" s="1"/>
  <c r="P74" i="10" s="1"/>
  <c r="Q73" i="10"/>
  <c r="S73" i="10" s="1"/>
  <c r="W73" i="10" s="1"/>
  <c r="R73" i="10"/>
  <c r="T73" i="10" s="1"/>
  <c r="R74" i="10" l="1"/>
  <c r="T74" i="10" s="1"/>
  <c r="Q74" i="10"/>
  <c r="S74" i="10" s="1"/>
  <c r="W74" i="10" s="1"/>
  <c r="J76" i="10"/>
  <c r="U77" i="10"/>
  <c r="V77" i="10" s="1"/>
  <c r="F78" i="10"/>
  <c r="G77" i="10"/>
  <c r="H77" i="10" s="1"/>
  <c r="I77" i="10" s="1"/>
  <c r="K75" i="10"/>
  <c r="L75" i="10" s="1"/>
  <c r="M75" i="10" s="1"/>
  <c r="N75" i="10"/>
  <c r="O75" i="10" s="1"/>
  <c r="P75" i="10" s="1"/>
  <c r="J77" i="10" l="1"/>
  <c r="F79" i="10"/>
  <c r="G78" i="10"/>
  <c r="H78" i="10" s="1"/>
  <c r="I78" i="10" s="1"/>
  <c r="U78" i="10"/>
  <c r="V78" i="10" s="1"/>
  <c r="K76" i="10"/>
  <c r="L76" i="10" s="1"/>
  <c r="M76" i="10" s="1"/>
  <c r="N76" i="10"/>
  <c r="O76" i="10" s="1"/>
  <c r="P76" i="10" s="1"/>
  <c r="R75" i="10"/>
  <c r="T75" i="10" s="1"/>
  <c r="Q75" i="10"/>
  <c r="S75" i="10" s="1"/>
  <c r="Q76" i="10" l="1"/>
  <c r="S76" i="10" s="1"/>
  <c r="W76" i="10" s="1"/>
  <c r="R76" i="10"/>
  <c r="T76" i="10" s="1"/>
  <c r="J78" i="10"/>
  <c r="U79" i="10"/>
  <c r="V79" i="10" s="1"/>
  <c r="G79" i="10"/>
  <c r="H79" i="10" s="1"/>
  <c r="I79" i="10" s="1"/>
  <c r="F80" i="10"/>
  <c r="W75" i="10"/>
  <c r="N77" i="10"/>
  <c r="O77" i="10" s="1"/>
  <c r="P77" i="10" s="1"/>
  <c r="K77" i="10"/>
  <c r="L77" i="10" s="1"/>
  <c r="M77" i="10" s="1"/>
  <c r="Q77" i="10" l="1"/>
  <c r="S77" i="10" s="1"/>
  <c r="W77" i="10" s="1"/>
  <c r="R77" i="10"/>
  <c r="T77" i="10" s="1"/>
  <c r="F81" i="10"/>
  <c r="U80" i="10"/>
  <c r="V80" i="10" s="1"/>
  <c r="G80" i="10"/>
  <c r="H80" i="10" s="1"/>
  <c r="I80" i="10" s="1"/>
  <c r="J79" i="10"/>
  <c r="N78" i="10"/>
  <c r="O78" i="10" s="1"/>
  <c r="P78" i="10" s="1"/>
  <c r="K78" i="10"/>
  <c r="L78" i="10" s="1"/>
  <c r="M78" i="10" s="1"/>
  <c r="K79" i="10" l="1"/>
  <c r="L79" i="10" s="1"/>
  <c r="M79" i="10" s="1"/>
  <c r="N79" i="10"/>
  <c r="O79" i="10" s="1"/>
  <c r="P79" i="10" s="1"/>
  <c r="R78" i="10"/>
  <c r="T78" i="10" s="1"/>
  <c r="Q78" i="10"/>
  <c r="S78" i="10" s="1"/>
  <c r="W78" i="10" s="1"/>
  <c r="U81" i="10"/>
  <c r="V81" i="10" s="1"/>
  <c r="F82" i="10"/>
  <c r="G81" i="10"/>
  <c r="H81" i="10" s="1"/>
  <c r="I81" i="10" s="1"/>
  <c r="J80" i="10"/>
  <c r="J81" i="10" l="1"/>
  <c r="U82" i="10"/>
  <c r="V82" i="10" s="1"/>
  <c r="F83" i="10"/>
  <c r="G82" i="10"/>
  <c r="H82" i="10" s="1"/>
  <c r="I82" i="10" s="1"/>
  <c r="R79" i="10"/>
  <c r="T79" i="10" s="1"/>
  <c r="Q79" i="10"/>
  <c r="S79" i="10" s="1"/>
  <c r="W79" i="10" s="1"/>
  <c r="N80" i="10"/>
  <c r="O80" i="10" s="1"/>
  <c r="P80" i="10" s="1"/>
  <c r="K80" i="10"/>
  <c r="L80" i="10" s="1"/>
  <c r="M80" i="10" s="1"/>
  <c r="G83" i="10" l="1"/>
  <c r="H83" i="10" s="1"/>
  <c r="I83" i="10" s="1"/>
  <c r="F84" i="10"/>
  <c r="U83" i="10"/>
  <c r="V83" i="10" s="1"/>
  <c r="R80" i="10"/>
  <c r="T80" i="10" s="1"/>
  <c r="Q80" i="10"/>
  <c r="S80" i="10" s="1"/>
  <c r="W80" i="10" s="1"/>
  <c r="J82" i="10"/>
  <c r="N81" i="10"/>
  <c r="O81" i="10" s="1"/>
  <c r="P81" i="10" s="1"/>
  <c r="K81" i="10"/>
  <c r="L81" i="10" s="1"/>
  <c r="M81" i="10" s="1"/>
  <c r="K82" i="10" l="1"/>
  <c r="L82" i="10" s="1"/>
  <c r="M82" i="10" s="1"/>
  <c r="N82" i="10"/>
  <c r="O82" i="10" s="1"/>
  <c r="P82" i="10" s="1"/>
  <c r="Q81" i="10"/>
  <c r="S81" i="10" s="1"/>
  <c r="W81" i="10" s="1"/>
  <c r="R81" i="10"/>
  <c r="T81" i="10" s="1"/>
  <c r="U84" i="10"/>
  <c r="V84" i="10" s="1"/>
  <c r="F85" i="10"/>
  <c r="G84" i="10"/>
  <c r="H84" i="10" s="1"/>
  <c r="I84" i="10" s="1"/>
  <c r="J83" i="10"/>
  <c r="K83" i="10" l="1"/>
  <c r="L83" i="10" s="1"/>
  <c r="M83" i="10" s="1"/>
  <c r="N83" i="10"/>
  <c r="O83" i="10" s="1"/>
  <c r="P83" i="10" s="1"/>
  <c r="U85" i="10"/>
  <c r="V85" i="10" s="1"/>
  <c r="G85" i="10"/>
  <c r="H85" i="10" s="1"/>
  <c r="I85" i="10" s="1"/>
  <c r="F86" i="10"/>
  <c r="R82" i="10"/>
  <c r="T82" i="10" s="1"/>
  <c r="Q82" i="10"/>
  <c r="S82" i="10" s="1"/>
  <c r="W82" i="10" s="1"/>
  <c r="J84" i="10"/>
  <c r="U86" i="10" l="1"/>
  <c r="V86" i="10" s="1"/>
  <c r="F87" i="10"/>
  <c r="G86" i="10"/>
  <c r="H86" i="10" s="1"/>
  <c r="I86" i="10" s="1"/>
  <c r="Q83" i="10"/>
  <c r="S83" i="10" s="1"/>
  <c r="R83" i="10"/>
  <c r="T83" i="10" s="1"/>
  <c r="J85" i="10"/>
  <c r="K84" i="10"/>
  <c r="L84" i="10" s="1"/>
  <c r="M84" i="10" s="1"/>
  <c r="N84" i="10"/>
  <c r="O84" i="10" s="1"/>
  <c r="P84" i="10" s="1"/>
  <c r="N85" i="10" l="1"/>
  <c r="O85" i="10" s="1"/>
  <c r="P85" i="10" s="1"/>
  <c r="K85" i="10"/>
  <c r="L85" i="10" s="1"/>
  <c r="M85" i="10" s="1"/>
  <c r="J86" i="10"/>
  <c r="W83" i="10"/>
  <c r="F88" i="10"/>
  <c r="G87" i="10"/>
  <c r="H87" i="10" s="1"/>
  <c r="I87" i="10" s="1"/>
  <c r="U87" i="10"/>
  <c r="V87" i="10" s="1"/>
  <c r="Q84" i="10"/>
  <c r="S84" i="10" s="1"/>
  <c r="W84" i="10" s="1"/>
  <c r="R84" i="10"/>
  <c r="T84" i="10" s="1"/>
  <c r="J87" i="10" l="1"/>
  <c r="F89" i="10"/>
  <c r="U88" i="10"/>
  <c r="V88" i="10" s="1"/>
  <c r="G88" i="10"/>
  <c r="H88" i="10" s="1"/>
  <c r="I88" i="10" s="1"/>
  <c r="N86" i="10"/>
  <c r="O86" i="10" s="1"/>
  <c r="P86" i="10" s="1"/>
  <c r="K86" i="10"/>
  <c r="L86" i="10" s="1"/>
  <c r="M86" i="10" s="1"/>
  <c r="R85" i="10"/>
  <c r="T85" i="10" s="1"/>
  <c r="Q85" i="10"/>
  <c r="S85" i="10" s="1"/>
  <c r="W85" i="10" s="1"/>
  <c r="Q86" i="10" l="1"/>
  <c r="S86" i="10" s="1"/>
  <c r="R86" i="10"/>
  <c r="T86" i="10" s="1"/>
  <c r="J88" i="10"/>
  <c r="U89" i="10"/>
  <c r="V89" i="10" s="1"/>
  <c r="F90" i="10"/>
  <c r="G89" i="10"/>
  <c r="H89" i="10" s="1"/>
  <c r="I89" i="10" s="1"/>
  <c r="N87" i="10"/>
  <c r="O87" i="10" s="1"/>
  <c r="P87" i="10" s="1"/>
  <c r="K87" i="10"/>
  <c r="L87" i="10" s="1"/>
  <c r="M87" i="10" s="1"/>
  <c r="W86" i="10" l="1"/>
  <c r="Q87" i="10"/>
  <c r="S87" i="10" s="1"/>
  <c r="W87" i="10" s="1"/>
  <c r="R87" i="10"/>
  <c r="T87" i="10" s="1"/>
  <c r="N88" i="10"/>
  <c r="O88" i="10" s="1"/>
  <c r="P88" i="10" s="1"/>
  <c r="K88" i="10"/>
  <c r="L88" i="10" s="1"/>
  <c r="M88" i="10" s="1"/>
  <c r="J89" i="10"/>
  <c r="G90" i="10"/>
  <c r="H90" i="10" s="1"/>
  <c r="I90" i="10" s="1"/>
  <c r="U90" i="10"/>
  <c r="V90" i="10" s="1"/>
  <c r="F91" i="10"/>
  <c r="N89" i="10" l="1"/>
  <c r="O89" i="10" s="1"/>
  <c r="P89" i="10" s="1"/>
  <c r="K89" i="10"/>
  <c r="L89" i="10" s="1"/>
  <c r="M89" i="10" s="1"/>
  <c r="G91" i="10"/>
  <c r="H91" i="10" s="1"/>
  <c r="I91" i="10" s="1"/>
  <c r="U91" i="10"/>
  <c r="V91" i="10" s="1"/>
  <c r="F92" i="10"/>
  <c r="Q88" i="10"/>
  <c r="S88" i="10" s="1"/>
  <c r="W88" i="10" s="1"/>
  <c r="R88" i="10"/>
  <c r="T88" i="10" s="1"/>
  <c r="J90" i="10"/>
  <c r="K90" i="10" l="1"/>
  <c r="L90" i="10" s="1"/>
  <c r="M90" i="10" s="1"/>
  <c r="N90" i="10"/>
  <c r="O90" i="10" s="1"/>
  <c r="P90" i="10" s="1"/>
  <c r="U92" i="10"/>
  <c r="V92" i="10" s="1"/>
  <c r="G92" i="10"/>
  <c r="H92" i="10" s="1"/>
  <c r="I92" i="10" s="1"/>
  <c r="F93" i="10"/>
  <c r="J91" i="10"/>
  <c r="Q89" i="10"/>
  <c r="S89" i="10" s="1"/>
  <c r="W89" i="10" s="1"/>
  <c r="R89" i="10"/>
  <c r="T89" i="10" s="1"/>
  <c r="G93" i="10" l="1"/>
  <c r="H93" i="10" s="1"/>
  <c r="I93" i="10" s="1"/>
  <c r="F94" i="10"/>
  <c r="U93" i="10"/>
  <c r="V93" i="10" s="1"/>
  <c r="J92" i="10"/>
  <c r="N91" i="10"/>
  <c r="O91" i="10" s="1"/>
  <c r="P91" i="10" s="1"/>
  <c r="K91" i="10"/>
  <c r="L91" i="10" s="1"/>
  <c r="M91" i="10" s="1"/>
  <c r="Q90" i="10"/>
  <c r="S90" i="10" s="1"/>
  <c r="R90" i="10"/>
  <c r="T90" i="10" s="1"/>
  <c r="W90" i="10" l="1"/>
  <c r="R91" i="10"/>
  <c r="T91" i="10" s="1"/>
  <c r="Q91" i="10"/>
  <c r="S91" i="10" s="1"/>
  <c r="W91" i="10" s="1"/>
  <c r="K92" i="10"/>
  <c r="L92" i="10" s="1"/>
  <c r="M92" i="10" s="1"/>
  <c r="N92" i="10"/>
  <c r="O92" i="10" s="1"/>
  <c r="P92" i="10" s="1"/>
  <c r="G94" i="10"/>
  <c r="H94" i="10" s="1"/>
  <c r="I94" i="10" s="1"/>
  <c r="F95" i="10"/>
  <c r="U94" i="10"/>
  <c r="V94" i="10" s="1"/>
  <c r="J93" i="10"/>
  <c r="N93" i="10" l="1"/>
  <c r="O93" i="10" s="1"/>
  <c r="P93" i="10" s="1"/>
  <c r="K93" i="10"/>
  <c r="L93" i="10" s="1"/>
  <c r="M93" i="10" s="1"/>
  <c r="J94" i="10"/>
  <c r="F96" i="10"/>
  <c r="U95" i="10"/>
  <c r="V95" i="10" s="1"/>
  <c r="G95" i="10"/>
  <c r="H95" i="10" s="1"/>
  <c r="I95" i="10" s="1"/>
  <c r="Q92" i="10"/>
  <c r="S92" i="10" s="1"/>
  <c r="W92" i="10" s="1"/>
  <c r="R92" i="10"/>
  <c r="T92" i="10" s="1"/>
  <c r="N94" i="10" l="1"/>
  <c r="O94" i="10" s="1"/>
  <c r="P94" i="10" s="1"/>
  <c r="K94" i="10"/>
  <c r="L94" i="10" s="1"/>
  <c r="M94" i="10" s="1"/>
  <c r="J95" i="10"/>
  <c r="F97" i="10"/>
  <c r="G96" i="10"/>
  <c r="H96" i="10" s="1"/>
  <c r="I96" i="10" s="1"/>
  <c r="U96" i="10"/>
  <c r="V96" i="10" s="1"/>
  <c r="R93" i="10"/>
  <c r="T93" i="10" s="1"/>
  <c r="Q93" i="10"/>
  <c r="S93" i="10" s="1"/>
  <c r="W93" i="10" s="1"/>
  <c r="N95" i="10" l="1"/>
  <c r="O95" i="10" s="1"/>
  <c r="P95" i="10" s="1"/>
  <c r="K95" i="10"/>
  <c r="L95" i="10" s="1"/>
  <c r="M95" i="10" s="1"/>
  <c r="J96" i="10"/>
  <c r="G97" i="10"/>
  <c r="H97" i="10" s="1"/>
  <c r="I97" i="10" s="1"/>
  <c r="F98" i="10"/>
  <c r="U97" i="10"/>
  <c r="V97" i="10" s="1"/>
  <c r="R94" i="10"/>
  <c r="T94" i="10" s="1"/>
  <c r="Q94" i="10"/>
  <c r="S94" i="10" s="1"/>
  <c r="W94" i="10" s="1"/>
  <c r="J97" i="10" l="1"/>
  <c r="F99" i="10"/>
  <c r="U98" i="10"/>
  <c r="V98" i="10" s="1"/>
  <c r="G98" i="10"/>
  <c r="H98" i="10" s="1"/>
  <c r="I98" i="10" s="1"/>
  <c r="K96" i="10"/>
  <c r="L96" i="10" s="1"/>
  <c r="M96" i="10" s="1"/>
  <c r="N96" i="10"/>
  <c r="O96" i="10" s="1"/>
  <c r="P96" i="10" s="1"/>
  <c r="R95" i="10"/>
  <c r="T95" i="10" s="1"/>
  <c r="Q95" i="10"/>
  <c r="S95" i="10" s="1"/>
  <c r="W95" i="10" s="1"/>
  <c r="Q96" i="10" l="1"/>
  <c r="S96" i="10" s="1"/>
  <c r="W96" i="10" s="1"/>
  <c r="R96" i="10"/>
  <c r="T96" i="10" s="1"/>
  <c r="J98" i="10"/>
  <c r="F100" i="10"/>
  <c r="U99" i="10"/>
  <c r="V99" i="10" s="1"/>
  <c r="G99" i="10"/>
  <c r="H99" i="10" s="1"/>
  <c r="I99" i="10" s="1"/>
  <c r="K97" i="10"/>
  <c r="L97" i="10" s="1"/>
  <c r="M97" i="10" s="1"/>
  <c r="N97" i="10"/>
  <c r="O97" i="10" s="1"/>
  <c r="P97" i="10" s="1"/>
  <c r="R97" i="10" l="1"/>
  <c r="T97" i="10" s="1"/>
  <c r="Q97" i="10"/>
  <c r="S97" i="10" s="1"/>
  <c r="W97" i="10" s="1"/>
  <c r="U100" i="10"/>
  <c r="V100" i="10" s="1"/>
  <c r="G100" i="10"/>
  <c r="H100" i="10" s="1"/>
  <c r="I100" i="10" s="1"/>
  <c r="F101" i="10"/>
  <c r="N98" i="10"/>
  <c r="O98" i="10" s="1"/>
  <c r="P98" i="10" s="1"/>
  <c r="K98" i="10"/>
  <c r="L98" i="10" s="1"/>
  <c r="M98" i="10" s="1"/>
  <c r="J99" i="10"/>
  <c r="R98" i="10" l="1"/>
  <c r="T98" i="10" s="1"/>
  <c r="Q98" i="10"/>
  <c r="S98" i="10" s="1"/>
  <c r="W98" i="10" s="1"/>
  <c r="N99" i="10"/>
  <c r="O99" i="10" s="1"/>
  <c r="P99" i="10" s="1"/>
  <c r="K99" i="10"/>
  <c r="L99" i="10" s="1"/>
  <c r="M99" i="10" s="1"/>
  <c r="F102" i="10"/>
  <c r="G101" i="10"/>
  <c r="H101" i="10" s="1"/>
  <c r="I101" i="10" s="1"/>
  <c r="U101" i="10"/>
  <c r="V101" i="10" s="1"/>
  <c r="J100" i="10"/>
  <c r="K100" i="10" l="1"/>
  <c r="L100" i="10" s="1"/>
  <c r="M100" i="10" s="1"/>
  <c r="N100" i="10"/>
  <c r="O100" i="10" s="1"/>
  <c r="P100" i="10" s="1"/>
  <c r="F103" i="10"/>
  <c r="G102" i="10"/>
  <c r="H102" i="10" s="1"/>
  <c r="I102" i="10" s="1"/>
  <c r="U102" i="10"/>
  <c r="V102" i="10" s="1"/>
  <c r="Q99" i="10"/>
  <c r="S99" i="10" s="1"/>
  <c r="W99" i="10" s="1"/>
  <c r="R99" i="10"/>
  <c r="T99" i="10" s="1"/>
  <c r="J101" i="10"/>
  <c r="G103" i="10" l="1"/>
  <c r="H103" i="10" s="1"/>
  <c r="I103" i="10" s="1"/>
  <c r="U103" i="10"/>
  <c r="V103" i="10" s="1"/>
  <c r="F104" i="10"/>
  <c r="K101" i="10"/>
  <c r="L101" i="10" s="1"/>
  <c r="M101" i="10" s="1"/>
  <c r="N101" i="10"/>
  <c r="O101" i="10" s="1"/>
  <c r="P101" i="10" s="1"/>
  <c r="Q100" i="10"/>
  <c r="S100" i="10" s="1"/>
  <c r="R100" i="10"/>
  <c r="T100" i="10" s="1"/>
  <c r="J102" i="10"/>
  <c r="W100" i="10" l="1"/>
  <c r="G104" i="10"/>
  <c r="H104" i="10" s="1"/>
  <c r="I104" i="10" s="1"/>
  <c r="F105" i="10"/>
  <c r="U104" i="10"/>
  <c r="V104" i="10" s="1"/>
  <c r="R101" i="10"/>
  <c r="T101" i="10" s="1"/>
  <c r="Q101" i="10"/>
  <c r="S101" i="10" s="1"/>
  <c r="W101" i="10" s="1"/>
  <c r="K102" i="10"/>
  <c r="L102" i="10" s="1"/>
  <c r="M102" i="10" s="1"/>
  <c r="N102" i="10"/>
  <c r="O102" i="10" s="1"/>
  <c r="P102" i="10" s="1"/>
  <c r="J103" i="10"/>
  <c r="K103" i="10" l="1"/>
  <c r="L103" i="10" s="1"/>
  <c r="M103" i="10" s="1"/>
  <c r="N103" i="10"/>
  <c r="O103" i="10" s="1"/>
  <c r="P103" i="10" s="1"/>
  <c r="R102" i="10"/>
  <c r="T102" i="10" s="1"/>
  <c r="Q102" i="10"/>
  <c r="S102" i="10" s="1"/>
  <c r="W102" i="10" s="1"/>
  <c r="U105" i="10"/>
  <c r="V105" i="10" s="1"/>
  <c r="G105" i="10"/>
  <c r="H105" i="10" s="1"/>
  <c r="I105" i="10" s="1"/>
  <c r="F106" i="10"/>
  <c r="J104" i="10"/>
  <c r="J105" i="10" l="1"/>
  <c r="K104" i="10"/>
  <c r="L104" i="10" s="1"/>
  <c r="M104" i="10" s="1"/>
  <c r="N104" i="10"/>
  <c r="O104" i="10" s="1"/>
  <c r="P104" i="10" s="1"/>
  <c r="U106" i="10"/>
  <c r="V106" i="10" s="1"/>
  <c r="F107" i="10"/>
  <c r="G106" i="10"/>
  <c r="H106" i="10" s="1"/>
  <c r="I106" i="10" s="1"/>
  <c r="Q103" i="10"/>
  <c r="S103" i="10" s="1"/>
  <c r="W103" i="10" s="1"/>
  <c r="R103" i="10"/>
  <c r="T103" i="10" s="1"/>
  <c r="R104" i="10" l="1"/>
  <c r="T104" i="10" s="1"/>
  <c r="Q104" i="10"/>
  <c r="S104" i="10" s="1"/>
  <c r="W104" i="10" s="1"/>
  <c r="J106" i="10"/>
  <c r="G107" i="10"/>
  <c r="H107" i="10" s="1"/>
  <c r="I107" i="10" s="1"/>
  <c r="F108" i="10"/>
  <c r="U107" i="10"/>
  <c r="V107" i="10" s="1"/>
  <c r="N105" i="10"/>
  <c r="O105" i="10" s="1"/>
  <c r="P105" i="10" s="1"/>
  <c r="K105" i="10"/>
  <c r="L105" i="10" s="1"/>
  <c r="M105" i="10" s="1"/>
  <c r="Q105" i="10" l="1"/>
  <c r="S105" i="10" s="1"/>
  <c r="W105" i="10" s="1"/>
  <c r="R105" i="10"/>
  <c r="T105" i="10" s="1"/>
  <c r="G108" i="10"/>
  <c r="H108" i="10" s="1"/>
  <c r="I108" i="10" s="1"/>
  <c r="F109" i="10"/>
  <c r="U108" i="10"/>
  <c r="V108" i="10" s="1"/>
  <c r="J107" i="10"/>
  <c r="N106" i="10"/>
  <c r="O106" i="10" s="1"/>
  <c r="P106" i="10" s="1"/>
  <c r="K106" i="10"/>
  <c r="L106" i="10" s="1"/>
  <c r="M106" i="10" s="1"/>
  <c r="F110" i="10" l="1"/>
  <c r="G109" i="10"/>
  <c r="H109" i="10" s="1"/>
  <c r="I109" i="10" s="1"/>
  <c r="U109" i="10"/>
  <c r="V109" i="10" s="1"/>
  <c r="J108" i="10"/>
  <c r="Q106" i="10"/>
  <c r="S106" i="10" s="1"/>
  <c r="W106" i="10" s="1"/>
  <c r="R106" i="10"/>
  <c r="T106" i="10" s="1"/>
  <c r="N107" i="10"/>
  <c r="O107" i="10" s="1"/>
  <c r="P107" i="10" s="1"/>
  <c r="K107" i="10"/>
  <c r="L107" i="10" s="1"/>
  <c r="M107" i="10" s="1"/>
  <c r="R107" i="10" l="1"/>
  <c r="T107" i="10" s="1"/>
  <c r="Q107" i="10"/>
  <c r="S107" i="10" s="1"/>
  <c r="W107" i="10" s="1"/>
  <c r="J109" i="10"/>
  <c r="N108" i="10"/>
  <c r="O108" i="10" s="1"/>
  <c r="P108" i="10" s="1"/>
  <c r="K108" i="10"/>
  <c r="L108" i="10" s="1"/>
  <c r="M108" i="10" s="1"/>
  <c r="G110" i="10"/>
  <c r="H110" i="10" s="1"/>
  <c r="I110" i="10" s="1"/>
  <c r="F111" i="10"/>
  <c r="U110" i="10"/>
  <c r="V110" i="10" s="1"/>
  <c r="U111" i="10" l="1"/>
  <c r="V111" i="10" s="1"/>
  <c r="G111" i="10"/>
  <c r="H111" i="10" s="1"/>
  <c r="I111" i="10" s="1"/>
  <c r="F112" i="10"/>
  <c r="J110" i="10"/>
  <c r="Q108" i="10"/>
  <c r="S108" i="10" s="1"/>
  <c r="W108" i="10" s="1"/>
  <c r="R108" i="10"/>
  <c r="T108" i="10" s="1"/>
  <c r="N109" i="10"/>
  <c r="O109" i="10" s="1"/>
  <c r="P109" i="10" s="1"/>
  <c r="K109" i="10"/>
  <c r="L109" i="10" s="1"/>
  <c r="M109" i="10" s="1"/>
  <c r="R109" i="10" l="1"/>
  <c r="T109" i="10" s="1"/>
  <c r="Q109" i="10"/>
  <c r="S109" i="10" s="1"/>
  <c r="W109" i="10" s="1"/>
  <c r="K110" i="10"/>
  <c r="L110" i="10" s="1"/>
  <c r="M110" i="10" s="1"/>
  <c r="N110" i="10"/>
  <c r="O110" i="10" s="1"/>
  <c r="P110" i="10" s="1"/>
  <c r="U112" i="10"/>
  <c r="V112" i="10" s="1"/>
  <c r="F113" i="10"/>
  <c r="G112" i="10"/>
  <c r="H112" i="10" s="1"/>
  <c r="I112" i="10" s="1"/>
  <c r="J111" i="10"/>
  <c r="R110" i="10" l="1"/>
  <c r="T110" i="10" s="1"/>
  <c r="Q110" i="10"/>
  <c r="S110" i="10" s="1"/>
  <c r="W110" i="10" s="1"/>
  <c r="J112" i="10"/>
  <c r="N111" i="10"/>
  <c r="O111" i="10" s="1"/>
  <c r="P111" i="10" s="1"/>
  <c r="K111" i="10"/>
  <c r="L111" i="10" s="1"/>
  <c r="M111" i="10" s="1"/>
  <c r="F114" i="10"/>
  <c r="U113" i="10"/>
  <c r="V113" i="10" s="1"/>
  <c r="G113" i="10"/>
  <c r="H113" i="10" s="1"/>
  <c r="I113" i="10" s="1"/>
  <c r="Q111" i="10" l="1"/>
  <c r="S111" i="10" s="1"/>
  <c r="W111" i="10" s="1"/>
  <c r="R111" i="10"/>
  <c r="T111" i="10" s="1"/>
  <c r="F115" i="10"/>
  <c r="U114" i="10"/>
  <c r="V114" i="10" s="1"/>
  <c r="G114" i="10"/>
  <c r="H114" i="10" s="1"/>
  <c r="I114" i="10" s="1"/>
  <c r="N112" i="10"/>
  <c r="O112" i="10" s="1"/>
  <c r="P112" i="10" s="1"/>
  <c r="K112" i="10"/>
  <c r="L112" i="10" s="1"/>
  <c r="M112" i="10" s="1"/>
  <c r="J113" i="10"/>
  <c r="N113" i="10" l="1"/>
  <c r="O113" i="10" s="1"/>
  <c r="P113" i="10" s="1"/>
  <c r="K113" i="10"/>
  <c r="L113" i="10" s="1"/>
  <c r="M113" i="10" s="1"/>
  <c r="R112" i="10"/>
  <c r="T112" i="10" s="1"/>
  <c r="Q112" i="10"/>
  <c r="S112" i="10" s="1"/>
  <c r="W112" i="10" s="1"/>
  <c r="J114" i="10"/>
  <c r="U115" i="10"/>
  <c r="V115" i="10" s="1"/>
  <c r="G115" i="10"/>
  <c r="H115" i="10" s="1"/>
  <c r="I115" i="10" s="1"/>
  <c r="F116" i="10"/>
  <c r="K114" i="10" l="1"/>
  <c r="L114" i="10" s="1"/>
  <c r="M114" i="10" s="1"/>
  <c r="N114" i="10"/>
  <c r="O114" i="10" s="1"/>
  <c r="P114" i="10" s="1"/>
  <c r="J115" i="10"/>
  <c r="G116" i="10"/>
  <c r="H116" i="10" s="1"/>
  <c r="I116" i="10" s="1"/>
  <c r="U116" i="10"/>
  <c r="V116" i="10" s="1"/>
  <c r="F117" i="10"/>
  <c r="Q113" i="10"/>
  <c r="S113" i="10" s="1"/>
  <c r="W113" i="10" s="1"/>
  <c r="R113" i="10"/>
  <c r="T113" i="10" s="1"/>
  <c r="J116" i="10" l="1"/>
  <c r="N115" i="10"/>
  <c r="O115" i="10" s="1"/>
  <c r="P115" i="10" s="1"/>
  <c r="K115" i="10"/>
  <c r="L115" i="10" s="1"/>
  <c r="M115" i="10" s="1"/>
  <c r="Q114" i="10"/>
  <c r="S114" i="10" s="1"/>
  <c r="W114" i="10" s="1"/>
  <c r="R114" i="10"/>
  <c r="T114" i="10" s="1"/>
  <c r="U117" i="10"/>
  <c r="V117" i="10" s="1"/>
  <c r="F118" i="10"/>
  <c r="G117" i="10"/>
  <c r="H117" i="10" s="1"/>
  <c r="I117" i="10" s="1"/>
  <c r="U118" i="10" l="1"/>
  <c r="V118" i="10" s="1"/>
  <c r="F119" i="10"/>
  <c r="G118" i="10"/>
  <c r="H118" i="10" s="1"/>
  <c r="I118" i="10" s="1"/>
  <c r="R115" i="10"/>
  <c r="T115" i="10" s="1"/>
  <c r="Q115" i="10"/>
  <c r="S115" i="10" s="1"/>
  <c r="W115" i="10" s="1"/>
  <c r="J117" i="10"/>
  <c r="N116" i="10"/>
  <c r="O116" i="10" s="1"/>
  <c r="P116" i="10" s="1"/>
  <c r="K116" i="10"/>
  <c r="L116" i="10" s="1"/>
  <c r="M116" i="10" s="1"/>
  <c r="Q116" i="10" l="1"/>
  <c r="S116" i="10" s="1"/>
  <c r="W116" i="10" s="1"/>
  <c r="R116" i="10"/>
  <c r="T116" i="10" s="1"/>
  <c r="J118" i="10"/>
  <c r="N117" i="10"/>
  <c r="O117" i="10" s="1"/>
  <c r="P117" i="10" s="1"/>
  <c r="K117" i="10"/>
  <c r="L117" i="10" s="1"/>
  <c r="M117" i="10" s="1"/>
  <c r="U119" i="10"/>
  <c r="V119" i="10" s="1"/>
  <c r="G119" i="10"/>
  <c r="H119" i="10" s="1"/>
  <c r="I119" i="10" s="1"/>
  <c r="F120" i="10"/>
  <c r="F121" i="10" l="1"/>
  <c r="G120" i="10"/>
  <c r="H120" i="10" s="1"/>
  <c r="I120" i="10" s="1"/>
  <c r="U120" i="10"/>
  <c r="V120" i="10" s="1"/>
  <c r="J119" i="10"/>
  <c r="R117" i="10"/>
  <c r="T117" i="10" s="1"/>
  <c r="Q117" i="10"/>
  <c r="S117" i="10" s="1"/>
  <c r="W117" i="10" s="1"/>
  <c r="K118" i="10"/>
  <c r="L118" i="10" s="1"/>
  <c r="M118" i="10" s="1"/>
  <c r="N118" i="10"/>
  <c r="O118" i="10" s="1"/>
  <c r="P118" i="10" s="1"/>
  <c r="J120" i="10" l="1"/>
  <c r="N119" i="10"/>
  <c r="O119" i="10" s="1"/>
  <c r="P119" i="10" s="1"/>
  <c r="K119" i="10"/>
  <c r="L119" i="10" s="1"/>
  <c r="M119" i="10" s="1"/>
  <c r="Q118" i="10"/>
  <c r="S118" i="10" s="1"/>
  <c r="W118" i="10" s="1"/>
  <c r="R118" i="10"/>
  <c r="T118" i="10" s="1"/>
  <c r="U121" i="10"/>
  <c r="V121" i="10" s="1"/>
  <c r="F122" i="10"/>
  <c r="G121" i="10"/>
  <c r="H121" i="10" s="1"/>
  <c r="I121" i="10" s="1"/>
  <c r="U122" i="10" l="1"/>
  <c r="V122" i="10" s="1"/>
  <c r="F123" i="10"/>
  <c r="G122" i="10"/>
  <c r="H122" i="10" s="1"/>
  <c r="I122" i="10" s="1"/>
  <c r="Q119" i="10"/>
  <c r="S119" i="10" s="1"/>
  <c r="W119" i="10" s="1"/>
  <c r="R119" i="10"/>
  <c r="T119" i="10" s="1"/>
  <c r="J121" i="10"/>
  <c r="N120" i="10"/>
  <c r="O120" i="10" s="1"/>
  <c r="P120" i="10" s="1"/>
  <c r="K120" i="10"/>
  <c r="L120" i="10" s="1"/>
  <c r="M120" i="10" s="1"/>
  <c r="Q120" i="10" l="1"/>
  <c r="S120" i="10" s="1"/>
  <c r="W120" i="10" s="1"/>
  <c r="R120" i="10"/>
  <c r="T120" i="10" s="1"/>
  <c r="J122" i="10"/>
  <c r="U123" i="10"/>
  <c r="V123" i="10" s="1"/>
  <c r="F124" i="10"/>
  <c r="G123" i="10"/>
  <c r="H123" i="10" s="1"/>
  <c r="I123" i="10" s="1"/>
  <c r="N121" i="10"/>
  <c r="O121" i="10" s="1"/>
  <c r="P121" i="10" s="1"/>
  <c r="K121" i="10"/>
  <c r="L121" i="10" s="1"/>
  <c r="M121" i="10" s="1"/>
  <c r="G124" i="10" l="1"/>
  <c r="H124" i="10" s="1"/>
  <c r="I124" i="10" s="1"/>
  <c r="F125" i="10"/>
  <c r="U124" i="10"/>
  <c r="V124" i="10" s="1"/>
  <c r="J123" i="10"/>
  <c r="N122" i="10"/>
  <c r="O122" i="10" s="1"/>
  <c r="P122" i="10" s="1"/>
  <c r="K122" i="10"/>
  <c r="L122" i="10" s="1"/>
  <c r="M122" i="10" s="1"/>
  <c r="R121" i="10"/>
  <c r="T121" i="10" s="1"/>
  <c r="Q121" i="10"/>
  <c r="S121" i="10" s="1"/>
  <c r="W121" i="10" s="1"/>
  <c r="R122" i="10" l="1"/>
  <c r="T122" i="10" s="1"/>
  <c r="Q122" i="10"/>
  <c r="S122" i="10" s="1"/>
  <c r="W122" i="10" s="1"/>
  <c r="K123" i="10"/>
  <c r="L123" i="10" s="1"/>
  <c r="M123" i="10" s="1"/>
  <c r="N123" i="10"/>
  <c r="O123" i="10" s="1"/>
  <c r="P123" i="10" s="1"/>
  <c r="F126" i="10"/>
  <c r="U125" i="10"/>
  <c r="V125" i="10" s="1"/>
  <c r="G125" i="10"/>
  <c r="H125" i="10" s="1"/>
  <c r="I125" i="10" s="1"/>
  <c r="J124" i="10"/>
  <c r="N124" i="10" l="1"/>
  <c r="O124" i="10" s="1"/>
  <c r="P124" i="10" s="1"/>
  <c r="K124" i="10"/>
  <c r="L124" i="10" s="1"/>
  <c r="M124" i="10" s="1"/>
  <c r="U126" i="10"/>
  <c r="V126" i="10" s="1"/>
  <c r="G126" i="10"/>
  <c r="H126" i="10" s="1"/>
  <c r="I126" i="10" s="1"/>
  <c r="F127" i="10"/>
  <c r="J125" i="10"/>
  <c r="R123" i="10"/>
  <c r="T123" i="10" s="1"/>
  <c r="Q123" i="10"/>
  <c r="S123" i="10" s="1"/>
  <c r="W123" i="10" s="1"/>
  <c r="N125" i="10" l="1"/>
  <c r="O125" i="10" s="1"/>
  <c r="P125" i="10" s="1"/>
  <c r="K125" i="10"/>
  <c r="L125" i="10" s="1"/>
  <c r="M125" i="10" s="1"/>
  <c r="G127" i="10"/>
  <c r="H127" i="10" s="1"/>
  <c r="I127" i="10" s="1"/>
  <c r="F128" i="10"/>
  <c r="U127" i="10"/>
  <c r="V127" i="10" s="1"/>
  <c r="J126" i="10"/>
  <c r="R124" i="10"/>
  <c r="T124" i="10" s="1"/>
  <c r="Q124" i="10"/>
  <c r="S124" i="10" s="1"/>
  <c r="W124" i="10" s="1"/>
  <c r="N126" i="10" l="1"/>
  <c r="O126" i="10" s="1"/>
  <c r="P126" i="10" s="1"/>
  <c r="K126" i="10"/>
  <c r="L126" i="10" s="1"/>
  <c r="M126" i="10" s="1"/>
  <c r="J127" i="10"/>
  <c r="U128" i="10"/>
  <c r="V128" i="10" s="1"/>
  <c r="F129" i="10"/>
  <c r="G128" i="10"/>
  <c r="H128" i="10" s="1"/>
  <c r="I128" i="10" s="1"/>
  <c r="R125" i="10"/>
  <c r="T125" i="10" s="1"/>
  <c r="Q125" i="10"/>
  <c r="S125" i="10" s="1"/>
  <c r="W125" i="10" s="1"/>
  <c r="J128" i="10" l="1"/>
  <c r="F130" i="10"/>
  <c r="U129" i="10"/>
  <c r="V129" i="10" s="1"/>
  <c r="G129" i="10"/>
  <c r="H129" i="10" s="1"/>
  <c r="I129" i="10" s="1"/>
  <c r="K127" i="10"/>
  <c r="L127" i="10" s="1"/>
  <c r="M127" i="10" s="1"/>
  <c r="N127" i="10"/>
  <c r="O127" i="10" s="1"/>
  <c r="P127" i="10" s="1"/>
  <c r="R126" i="10"/>
  <c r="T126" i="10" s="1"/>
  <c r="Q126" i="10"/>
  <c r="S126" i="10" s="1"/>
  <c r="W126" i="10" l="1"/>
  <c r="R127" i="10"/>
  <c r="T127" i="10" s="1"/>
  <c r="Q127" i="10"/>
  <c r="S127" i="10" s="1"/>
  <c r="W127" i="10" s="1"/>
  <c r="J129" i="10"/>
  <c r="U130" i="10"/>
  <c r="V130" i="10" s="1"/>
  <c r="G130" i="10"/>
  <c r="H130" i="10" s="1"/>
  <c r="I130" i="10" s="1"/>
  <c r="F131" i="10"/>
  <c r="N128" i="10"/>
  <c r="O128" i="10" s="1"/>
  <c r="P128" i="10" s="1"/>
  <c r="K128" i="10"/>
  <c r="L128" i="10" s="1"/>
  <c r="M128" i="10" s="1"/>
  <c r="Q128" i="10" l="1"/>
  <c r="S128" i="10" s="1"/>
  <c r="W128" i="10" s="1"/>
  <c r="R128" i="10"/>
  <c r="T128" i="10" s="1"/>
  <c r="J130" i="10"/>
  <c r="N129" i="10"/>
  <c r="O129" i="10" s="1"/>
  <c r="P129" i="10" s="1"/>
  <c r="K129" i="10"/>
  <c r="L129" i="10" s="1"/>
  <c r="M129" i="10" s="1"/>
  <c r="U131" i="10"/>
  <c r="V131" i="10" s="1"/>
  <c r="F132" i="10"/>
  <c r="G131" i="10"/>
  <c r="H131" i="10" s="1"/>
  <c r="I131" i="10" s="1"/>
  <c r="F133" i="10" l="1"/>
  <c r="G132" i="10"/>
  <c r="H132" i="10" s="1"/>
  <c r="I132" i="10" s="1"/>
  <c r="U132" i="10"/>
  <c r="V132" i="10" s="1"/>
  <c r="Q129" i="10"/>
  <c r="S129" i="10" s="1"/>
  <c r="W129" i="10" s="1"/>
  <c r="R129" i="10"/>
  <c r="T129" i="10" s="1"/>
  <c r="K130" i="10"/>
  <c r="L130" i="10" s="1"/>
  <c r="M130" i="10" s="1"/>
  <c r="N130" i="10"/>
  <c r="O130" i="10" s="1"/>
  <c r="P130" i="10" s="1"/>
  <c r="J131" i="10"/>
  <c r="R130" i="10" l="1"/>
  <c r="T130" i="10" s="1"/>
  <c r="Q130" i="10"/>
  <c r="S130" i="10" s="1"/>
  <c r="W130" i="10" s="1"/>
  <c r="N131" i="10"/>
  <c r="O131" i="10" s="1"/>
  <c r="P131" i="10" s="1"/>
  <c r="K131" i="10"/>
  <c r="L131" i="10" s="1"/>
  <c r="M131" i="10" s="1"/>
  <c r="J132" i="10"/>
  <c r="G133" i="10"/>
  <c r="H133" i="10" s="1"/>
  <c r="I133" i="10" s="1"/>
  <c r="F134" i="10"/>
  <c r="U133" i="10"/>
  <c r="V133" i="10" s="1"/>
  <c r="J133" i="10" l="1"/>
  <c r="N132" i="10"/>
  <c r="O132" i="10" s="1"/>
  <c r="P132" i="10" s="1"/>
  <c r="K132" i="10"/>
  <c r="L132" i="10" s="1"/>
  <c r="M132" i="10" s="1"/>
  <c r="F135" i="10"/>
  <c r="U134" i="10"/>
  <c r="V134" i="10" s="1"/>
  <c r="G134" i="10"/>
  <c r="H134" i="10" s="1"/>
  <c r="I134" i="10" s="1"/>
  <c r="Q131" i="10"/>
  <c r="S131" i="10" s="1"/>
  <c r="R131" i="10"/>
  <c r="T131" i="10" s="1"/>
  <c r="W131" i="10" l="1"/>
  <c r="J134" i="10"/>
  <c r="R132" i="10"/>
  <c r="T132" i="10" s="1"/>
  <c r="Q132" i="10"/>
  <c r="S132" i="10" s="1"/>
  <c r="W132" i="10" s="1"/>
  <c r="U135" i="10"/>
  <c r="V135" i="10" s="1"/>
  <c r="G135" i="10"/>
  <c r="H135" i="10" s="1"/>
  <c r="I135" i="10" s="1"/>
  <c r="F136" i="10"/>
  <c r="K133" i="10"/>
  <c r="L133" i="10" s="1"/>
  <c r="M133" i="10" s="1"/>
  <c r="N133" i="10"/>
  <c r="O133" i="10" s="1"/>
  <c r="P133" i="10" s="1"/>
  <c r="J135" i="10" l="1"/>
  <c r="U136" i="10"/>
  <c r="V136" i="10" s="1"/>
  <c r="F137" i="10"/>
  <c r="G136" i="10"/>
  <c r="H136" i="10" s="1"/>
  <c r="I136" i="10" s="1"/>
  <c r="R133" i="10"/>
  <c r="T133" i="10" s="1"/>
  <c r="Q133" i="10"/>
  <c r="S133" i="10" s="1"/>
  <c r="W133" i="10" s="1"/>
  <c r="K134" i="10"/>
  <c r="L134" i="10" s="1"/>
  <c r="M134" i="10" s="1"/>
  <c r="N134" i="10"/>
  <c r="O134" i="10" s="1"/>
  <c r="P134" i="10" s="1"/>
  <c r="J136" i="10" l="1"/>
  <c r="U137" i="10"/>
  <c r="V137" i="10" s="1"/>
  <c r="F138" i="10"/>
  <c r="G137" i="10"/>
  <c r="H137" i="10" s="1"/>
  <c r="I137" i="10" s="1"/>
  <c r="Q134" i="10"/>
  <c r="S134" i="10" s="1"/>
  <c r="W134" i="10" s="1"/>
  <c r="R134" i="10"/>
  <c r="T134" i="10" s="1"/>
  <c r="N135" i="10"/>
  <c r="O135" i="10" s="1"/>
  <c r="P135" i="10" s="1"/>
  <c r="K135" i="10"/>
  <c r="L135" i="10" s="1"/>
  <c r="M135" i="10" s="1"/>
  <c r="Q135" i="10" l="1"/>
  <c r="S135" i="10" s="1"/>
  <c r="W135" i="10" s="1"/>
  <c r="R135" i="10"/>
  <c r="T135" i="10" s="1"/>
  <c r="J137" i="10"/>
  <c r="F139" i="10"/>
  <c r="U138" i="10"/>
  <c r="V138" i="10" s="1"/>
  <c r="G138" i="10"/>
  <c r="H138" i="10" s="1"/>
  <c r="I138" i="10" s="1"/>
  <c r="K136" i="10"/>
  <c r="L136" i="10" s="1"/>
  <c r="M136" i="10" s="1"/>
  <c r="N136" i="10"/>
  <c r="O136" i="10" s="1"/>
  <c r="P136" i="10" s="1"/>
  <c r="R136" i="10" l="1"/>
  <c r="T136" i="10" s="1"/>
  <c r="Q136" i="10"/>
  <c r="S136" i="10" s="1"/>
  <c r="W136" i="10" s="1"/>
  <c r="N137" i="10"/>
  <c r="O137" i="10" s="1"/>
  <c r="P137" i="10" s="1"/>
  <c r="K137" i="10"/>
  <c r="L137" i="10" s="1"/>
  <c r="M137" i="10" s="1"/>
  <c r="J138" i="10"/>
  <c r="G139" i="10"/>
  <c r="H139" i="10" s="1"/>
  <c r="I139" i="10" s="1"/>
  <c r="F140" i="10"/>
  <c r="U139" i="10"/>
  <c r="V139" i="10" s="1"/>
  <c r="U140" i="10" l="1"/>
  <c r="V140" i="10" s="1"/>
  <c r="G140" i="10"/>
  <c r="H140" i="10" s="1"/>
  <c r="I140" i="10" s="1"/>
  <c r="F141" i="10"/>
  <c r="K138" i="10"/>
  <c r="L138" i="10" s="1"/>
  <c r="M138" i="10" s="1"/>
  <c r="N138" i="10"/>
  <c r="O138" i="10" s="1"/>
  <c r="P138" i="10" s="1"/>
  <c r="J139" i="10"/>
  <c r="R137" i="10"/>
  <c r="T137" i="10" s="1"/>
  <c r="Q137" i="10"/>
  <c r="S137" i="10" s="1"/>
  <c r="W137" i="10" s="1"/>
  <c r="R138" i="10" l="1"/>
  <c r="T138" i="10" s="1"/>
  <c r="Q138" i="10"/>
  <c r="S138" i="10" s="1"/>
  <c r="W138" i="10" s="1"/>
  <c r="N139" i="10"/>
  <c r="O139" i="10" s="1"/>
  <c r="P139" i="10" s="1"/>
  <c r="K139" i="10"/>
  <c r="L139" i="10" s="1"/>
  <c r="M139" i="10" s="1"/>
  <c r="F142" i="10"/>
  <c r="G141" i="10"/>
  <c r="H141" i="10" s="1"/>
  <c r="I141" i="10" s="1"/>
  <c r="U141" i="10"/>
  <c r="V141" i="10" s="1"/>
  <c r="J140" i="10"/>
  <c r="K140" i="10" l="1"/>
  <c r="L140" i="10" s="1"/>
  <c r="M140" i="10" s="1"/>
  <c r="N140" i="10"/>
  <c r="O140" i="10" s="1"/>
  <c r="P140" i="10" s="1"/>
  <c r="U142" i="10"/>
  <c r="V142" i="10" s="1"/>
  <c r="F143" i="10"/>
  <c r="G142" i="10"/>
  <c r="H142" i="10" s="1"/>
  <c r="I142" i="10" s="1"/>
  <c r="Q139" i="10"/>
  <c r="S139" i="10" s="1"/>
  <c r="R139" i="10"/>
  <c r="T139" i="10" s="1"/>
  <c r="J141" i="10"/>
  <c r="W139" i="10" l="1"/>
  <c r="J142" i="10"/>
  <c r="G143" i="10"/>
  <c r="H143" i="10" s="1"/>
  <c r="I143" i="10" s="1"/>
  <c r="F144" i="10"/>
  <c r="U143" i="10"/>
  <c r="V143" i="10" s="1"/>
  <c r="Q140" i="10"/>
  <c r="S140" i="10" s="1"/>
  <c r="W140" i="10" s="1"/>
  <c r="R140" i="10"/>
  <c r="T140" i="10" s="1"/>
  <c r="N141" i="10"/>
  <c r="O141" i="10" s="1"/>
  <c r="P141" i="10" s="1"/>
  <c r="K141" i="10"/>
  <c r="L141" i="10" s="1"/>
  <c r="M141" i="10" s="1"/>
  <c r="Q141" i="10" l="1"/>
  <c r="S141" i="10" s="1"/>
  <c r="W141" i="10" s="1"/>
  <c r="R141" i="10"/>
  <c r="T141" i="10" s="1"/>
  <c r="F145" i="10"/>
  <c r="G144" i="10"/>
  <c r="H144" i="10" s="1"/>
  <c r="I144" i="10" s="1"/>
  <c r="U144" i="10"/>
  <c r="V144" i="10" s="1"/>
  <c r="J143" i="10"/>
  <c r="K142" i="10"/>
  <c r="L142" i="10" s="1"/>
  <c r="M142" i="10" s="1"/>
  <c r="N142" i="10"/>
  <c r="O142" i="10" s="1"/>
  <c r="P142" i="10" s="1"/>
  <c r="R142" i="10" l="1"/>
  <c r="T142" i="10" s="1"/>
  <c r="Q142" i="10"/>
  <c r="S142" i="10" s="1"/>
  <c r="W142" i="10" s="1"/>
  <c r="K143" i="10"/>
  <c r="L143" i="10" s="1"/>
  <c r="M143" i="10" s="1"/>
  <c r="N143" i="10"/>
  <c r="O143" i="10" s="1"/>
  <c r="P143" i="10" s="1"/>
  <c r="J144" i="10"/>
  <c r="U145" i="10"/>
  <c r="V145" i="10" s="1"/>
  <c r="F146" i="10"/>
  <c r="G145" i="10"/>
  <c r="H145" i="10" s="1"/>
  <c r="I145" i="10" s="1"/>
  <c r="N144" i="10" l="1"/>
  <c r="O144" i="10" s="1"/>
  <c r="P144" i="10" s="1"/>
  <c r="K144" i="10"/>
  <c r="L144" i="10" s="1"/>
  <c r="M144" i="10" s="1"/>
  <c r="Q143" i="10"/>
  <c r="S143" i="10" s="1"/>
  <c r="W143" i="10" s="1"/>
  <c r="R143" i="10"/>
  <c r="T143" i="10" s="1"/>
  <c r="F147" i="10"/>
  <c r="U146" i="10"/>
  <c r="V146" i="10" s="1"/>
  <c r="G146" i="10"/>
  <c r="H146" i="10" s="1"/>
  <c r="I146" i="10" s="1"/>
  <c r="J145" i="10"/>
  <c r="U147" i="10" l="1"/>
  <c r="V147" i="10" s="1"/>
  <c r="F148" i="10"/>
  <c r="G147" i="10"/>
  <c r="H147" i="10" s="1"/>
  <c r="I147" i="10" s="1"/>
  <c r="J146" i="10"/>
  <c r="K145" i="10"/>
  <c r="L145" i="10" s="1"/>
  <c r="M145" i="10" s="1"/>
  <c r="N145" i="10"/>
  <c r="O145" i="10" s="1"/>
  <c r="P145" i="10" s="1"/>
  <c r="Q144" i="10"/>
  <c r="S144" i="10" s="1"/>
  <c r="W144" i="10" s="1"/>
  <c r="R144" i="10"/>
  <c r="T144" i="10" s="1"/>
  <c r="Q145" i="10" l="1"/>
  <c r="S145" i="10" s="1"/>
  <c r="W145" i="10" s="1"/>
  <c r="R145" i="10"/>
  <c r="T145" i="10" s="1"/>
  <c r="J147" i="10"/>
  <c r="N146" i="10"/>
  <c r="O146" i="10" s="1"/>
  <c r="P146" i="10" s="1"/>
  <c r="K146" i="10"/>
  <c r="L146" i="10" s="1"/>
  <c r="M146" i="10" s="1"/>
  <c r="F149" i="10"/>
  <c r="G148" i="10"/>
  <c r="H148" i="10" s="1"/>
  <c r="I148" i="10" s="1"/>
  <c r="U148" i="10"/>
  <c r="V148" i="10" s="1"/>
  <c r="F150" i="10" l="1"/>
  <c r="U149" i="10"/>
  <c r="V149" i="10" s="1"/>
  <c r="G149" i="10"/>
  <c r="H149" i="10" s="1"/>
  <c r="I149" i="10" s="1"/>
  <c r="J148" i="10"/>
  <c r="K147" i="10"/>
  <c r="L147" i="10" s="1"/>
  <c r="M147" i="10" s="1"/>
  <c r="N147" i="10"/>
  <c r="O147" i="10" s="1"/>
  <c r="P147" i="10" s="1"/>
  <c r="Q146" i="10"/>
  <c r="S146" i="10" s="1"/>
  <c r="W146" i="10" s="1"/>
  <c r="R146" i="10"/>
  <c r="T146" i="10" s="1"/>
  <c r="Q147" i="10" l="1"/>
  <c r="S147" i="10" s="1"/>
  <c r="W147" i="10" s="1"/>
  <c r="R147" i="10"/>
  <c r="T147" i="10" s="1"/>
  <c r="J149" i="10"/>
  <c r="N148" i="10"/>
  <c r="O148" i="10" s="1"/>
  <c r="P148" i="10" s="1"/>
  <c r="K148" i="10"/>
  <c r="L148" i="10" s="1"/>
  <c r="M148" i="10" s="1"/>
  <c r="U150" i="10"/>
  <c r="V150" i="10" s="1"/>
  <c r="G150" i="10"/>
  <c r="H150" i="10" s="1"/>
  <c r="I150" i="10" s="1"/>
  <c r="F151" i="10"/>
  <c r="U151" i="10" l="1"/>
  <c r="V151" i="10" s="1"/>
  <c r="F152" i="10"/>
  <c r="G151" i="10"/>
  <c r="H151" i="10" s="1"/>
  <c r="I151" i="10" s="1"/>
  <c r="J150" i="10"/>
  <c r="R148" i="10"/>
  <c r="T148" i="10" s="1"/>
  <c r="Q148" i="10"/>
  <c r="S148" i="10" s="1"/>
  <c r="W148" i="10" s="1"/>
  <c r="N149" i="10"/>
  <c r="O149" i="10" s="1"/>
  <c r="P149" i="10" s="1"/>
  <c r="K149" i="10"/>
  <c r="L149" i="10" s="1"/>
  <c r="M149" i="10" s="1"/>
  <c r="N150" i="10" l="1"/>
  <c r="O150" i="10" s="1"/>
  <c r="P150" i="10" s="1"/>
  <c r="K150" i="10"/>
  <c r="L150" i="10" s="1"/>
  <c r="M150" i="10" s="1"/>
  <c r="R149" i="10"/>
  <c r="T149" i="10" s="1"/>
  <c r="Q149" i="10"/>
  <c r="S149" i="10" s="1"/>
  <c r="W149" i="10" s="1"/>
  <c r="J151" i="10"/>
  <c r="G152" i="10"/>
  <c r="H152" i="10" s="1"/>
  <c r="I152" i="10" s="1"/>
  <c r="F153" i="10"/>
  <c r="U152" i="10"/>
  <c r="V152" i="10" s="1"/>
  <c r="F154" i="10" l="1"/>
  <c r="U153" i="10"/>
  <c r="V153" i="10" s="1"/>
  <c r="G153" i="10"/>
  <c r="H153" i="10" s="1"/>
  <c r="I153" i="10" s="1"/>
  <c r="N151" i="10"/>
  <c r="O151" i="10" s="1"/>
  <c r="P151" i="10" s="1"/>
  <c r="K151" i="10"/>
  <c r="L151" i="10" s="1"/>
  <c r="M151" i="10" s="1"/>
  <c r="J152" i="10"/>
  <c r="R150" i="10"/>
  <c r="T150" i="10" s="1"/>
  <c r="Q150" i="10"/>
  <c r="S150" i="10" s="1"/>
  <c r="W150" i="10" s="1"/>
  <c r="N152" i="10" l="1"/>
  <c r="O152" i="10" s="1"/>
  <c r="P152" i="10" s="1"/>
  <c r="K152" i="10"/>
  <c r="L152" i="10" s="1"/>
  <c r="M152" i="10" s="1"/>
  <c r="Q151" i="10"/>
  <c r="S151" i="10" s="1"/>
  <c r="W151" i="10" s="1"/>
  <c r="R151" i="10"/>
  <c r="T151" i="10" s="1"/>
  <c r="J153" i="10"/>
  <c r="U154" i="10"/>
  <c r="V154" i="10" s="1"/>
  <c r="F155" i="10"/>
  <c r="G154" i="10"/>
  <c r="H154" i="10" s="1"/>
  <c r="I154" i="10" s="1"/>
  <c r="F156" i="10" l="1"/>
  <c r="U155" i="10"/>
  <c r="V155" i="10" s="1"/>
  <c r="G155" i="10"/>
  <c r="H155" i="10" s="1"/>
  <c r="I155" i="10" s="1"/>
  <c r="N153" i="10"/>
  <c r="O153" i="10" s="1"/>
  <c r="P153" i="10" s="1"/>
  <c r="K153" i="10"/>
  <c r="L153" i="10" s="1"/>
  <c r="M153" i="10" s="1"/>
  <c r="J154" i="10"/>
  <c r="Q152" i="10"/>
  <c r="S152" i="10" s="1"/>
  <c r="W152" i="10" s="1"/>
  <c r="R152" i="10"/>
  <c r="T152" i="10" s="1"/>
  <c r="N154" i="10" l="1"/>
  <c r="O154" i="10" s="1"/>
  <c r="P154" i="10" s="1"/>
  <c r="K154" i="10"/>
  <c r="L154" i="10" s="1"/>
  <c r="M154" i="10" s="1"/>
  <c r="J155" i="10"/>
  <c r="R153" i="10"/>
  <c r="T153" i="10" s="1"/>
  <c r="Q153" i="10"/>
  <c r="S153" i="10" s="1"/>
  <c r="W153" i="10" s="1"/>
  <c r="F157" i="10"/>
  <c r="U156" i="10"/>
  <c r="V156" i="10" s="1"/>
  <c r="G156" i="10"/>
  <c r="H156" i="10" s="1"/>
  <c r="I156" i="10" s="1"/>
  <c r="F158" i="10" l="1"/>
  <c r="U157" i="10"/>
  <c r="V157" i="10" s="1"/>
  <c r="G157" i="10"/>
  <c r="H157" i="10" s="1"/>
  <c r="I157" i="10" s="1"/>
  <c r="K155" i="10"/>
  <c r="L155" i="10" s="1"/>
  <c r="M155" i="10" s="1"/>
  <c r="N155" i="10"/>
  <c r="O155" i="10" s="1"/>
  <c r="P155" i="10" s="1"/>
  <c r="J156" i="10"/>
  <c r="R154" i="10"/>
  <c r="T154" i="10" s="1"/>
  <c r="Q154" i="10"/>
  <c r="S154" i="10" s="1"/>
  <c r="W154" i="10" s="1"/>
  <c r="Q155" i="10" l="1"/>
  <c r="S155" i="10" s="1"/>
  <c r="W155" i="10" s="1"/>
  <c r="R155" i="10"/>
  <c r="T155" i="10" s="1"/>
  <c r="J157" i="10"/>
  <c r="K156" i="10"/>
  <c r="L156" i="10" s="1"/>
  <c r="M156" i="10" s="1"/>
  <c r="N156" i="10"/>
  <c r="O156" i="10" s="1"/>
  <c r="P156" i="10" s="1"/>
  <c r="U158" i="10"/>
  <c r="V158" i="10" s="1"/>
  <c r="F159" i="10"/>
  <c r="G158" i="10"/>
  <c r="H158" i="10" s="1"/>
  <c r="I158" i="10" s="1"/>
  <c r="J158" i="10" l="1"/>
  <c r="F160" i="10"/>
  <c r="U159" i="10"/>
  <c r="V159" i="10" s="1"/>
  <c r="G159" i="10"/>
  <c r="H159" i="10" s="1"/>
  <c r="I159" i="10" s="1"/>
  <c r="N157" i="10"/>
  <c r="O157" i="10" s="1"/>
  <c r="P157" i="10" s="1"/>
  <c r="K157" i="10"/>
  <c r="L157" i="10" s="1"/>
  <c r="M157" i="10" s="1"/>
  <c r="Q156" i="10"/>
  <c r="S156" i="10" s="1"/>
  <c r="W156" i="10" s="1"/>
  <c r="R156" i="10"/>
  <c r="T156" i="10" s="1"/>
  <c r="J159" i="10" l="1"/>
  <c r="F161" i="10"/>
  <c r="U160" i="10"/>
  <c r="V160" i="10" s="1"/>
  <c r="G160" i="10"/>
  <c r="H160" i="10" s="1"/>
  <c r="I160" i="10" s="1"/>
  <c r="Q157" i="10"/>
  <c r="S157" i="10" s="1"/>
  <c r="W157" i="10" s="1"/>
  <c r="R157" i="10"/>
  <c r="T157" i="10" s="1"/>
  <c r="N158" i="10"/>
  <c r="O158" i="10" s="1"/>
  <c r="P158" i="10" s="1"/>
  <c r="K158" i="10"/>
  <c r="L158" i="10" s="1"/>
  <c r="M158" i="10" s="1"/>
  <c r="F162" i="10" l="1"/>
  <c r="U161" i="10"/>
  <c r="V161" i="10" s="1"/>
  <c r="G161" i="10"/>
  <c r="H161" i="10" s="1"/>
  <c r="I161" i="10" s="1"/>
  <c r="R158" i="10"/>
  <c r="T158" i="10" s="1"/>
  <c r="Q158" i="10"/>
  <c r="S158" i="10" s="1"/>
  <c r="W158" i="10" s="1"/>
  <c r="J160" i="10"/>
  <c r="N159" i="10"/>
  <c r="O159" i="10" s="1"/>
  <c r="P159" i="10" s="1"/>
  <c r="K159" i="10"/>
  <c r="L159" i="10" s="1"/>
  <c r="M159" i="10" s="1"/>
  <c r="K160" i="10" l="1"/>
  <c r="L160" i="10" s="1"/>
  <c r="M160" i="10" s="1"/>
  <c r="N160" i="10"/>
  <c r="O160" i="10" s="1"/>
  <c r="P160" i="10" s="1"/>
  <c r="R159" i="10"/>
  <c r="T159" i="10" s="1"/>
  <c r="Q159" i="10"/>
  <c r="S159" i="10" s="1"/>
  <c r="W159" i="10" s="1"/>
  <c r="J161" i="10"/>
  <c r="G162" i="10"/>
  <c r="H162" i="10" s="1"/>
  <c r="I162" i="10" s="1"/>
  <c r="F163" i="10"/>
  <c r="U162" i="10"/>
  <c r="V162" i="10" s="1"/>
  <c r="J162" i="10" l="1"/>
  <c r="U163" i="10"/>
  <c r="V163" i="10" s="1"/>
  <c r="F164" i="10"/>
  <c r="G163" i="10"/>
  <c r="H163" i="10" s="1"/>
  <c r="I163" i="10" s="1"/>
  <c r="N161" i="10"/>
  <c r="O161" i="10" s="1"/>
  <c r="P161" i="10" s="1"/>
  <c r="K161" i="10"/>
  <c r="L161" i="10" s="1"/>
  <c r="M161" i="10" s="1"/>
  <c r="R160" i="10"/>
  <c r="T160" i="10" s="1"/>
  <c r="Q160" i="10"/>
  <c r="S160" i="10" s="1"/>
  <c r="W160" i="10" s="1"/>
  <c r="Q161" i="10" l="1"/>
  <c r="S161" i="10" s="1"/>
  <c r="W161" i="10" s="1"/>
  <c r="R161" i="10"/>
  <c r="T161" i="10" s="1"/>
  <c r="J163" i="10"/>
  <c r="U164" i="10"/>
  <c r="V164" i="10" s="1"/>
  <c r="F165" i="10"/>
  <c r="G164" i="10"/>
  <c r="H164" i="10" s="1"/>
  <c r="I164" i="10" s="1"/>
  <c r="K162" i="10"/>
  <c r="L162" i="10" s="1"/>
  <c r="M162" i="10" s="1"/>
  <c r="N162" i="10"/>
  <c r="O162" i="10" s="1"/>
  <c r="P162" i="10" s="1"/>
  <c r="Q162" i="10" l="1"/>
  <c r="S162" i="10" s="1"/>
  <c r="W162" i="10" s="1"/>
  <c r="R162" i="10"/>
  <c r="T162" i="10" s="1"/>
  <c r="N163" i="10"/>
  <c r="O163" i="10" s="1"/>
  <c r="P163" i="10" s="1"/>
  <c r="K163" i="10"/>
  <c r="L163" i="10" s="1"/>
  <c r="M163" i="10" s="1"/>
  <c r="J164" i="10"/>
  <c r="U165" i="10"/>
  <c r="V165" i="10" s="1"/>
  <c r="F166" i="10"/>
  <c r="G165" i="10"/>
  <c r="H165" i="10" s="1"/>
  <c r="I165" i="10" s="1"/>
  <c r="J165" i="10" l="1"/>
  <c r="N164" i="10"/>
  <c r="O164" i="10" s="1"/>
  <c r="P164" i="10" s="1"/>
  <c r="K164" i="10"/>
  <c r="L164" i="10" s="1"/>
  <c r="M164" i="10" s="1"/>
  <c r="F167" i="10"/>
  <c r="U166" i="10"/>
  <c r="V166" i="10" s="1"/>
  <c r="G166" i="10"/>
  <c r="H166" i="10" s="1"/>
  <c r="I166" i="10" s="1"/>
  <c r="R163" i="10"/>
  <c r="T163" i="10" s="1"/>
  <c r="Q163" i="10"/>
  <c r="S163" i="10" s="1"/>
  <c r="W163" i="10" l="1"/>
  <c r="J166" i="10"/>
  <c r="F168" i="10"/>
  <c r="U167" i="10"/>
  <c r="V167" i="10" s="1"/>
  <c r="G167" i="10"/>
  <c r="H167" i="10" s="1"/>
  <c r="I167" i="10" s="1"/>
  <c r="R164" i="10"/>
  <c r="T164" i="10" s="1"/>
  <c r="Q164" i="10"/>
  <c r="S164" i="10" s="1"/>
  <c r="W164" i="10" s="1"/>
  <c r="K165" i="10"/>
  <c r="L165" i="10" s="1"/>
  <c r="M165" i="10" s="1"/>
  <c r="N165" i="10"/>
  <c r="O165" i="10" s="1"/>
  <c r="P165" i="10" s="1"/>
  <c r="J167" i="10" l="1"/>
  <c r="F169" i="10"/>
  <c r="U168" i="10"/>
  <c r="V168" i="10" s="1"/>
  <c r="G168" i="10"/>
  <c r="H168" i="10" s="1"/>
  <c r="I168" i="10" s="1"/>
  <c r="R165" i="10"/>
  <c r="T165" i="10" s="1"/>
  <c r="Q165" i="10"/>
  <c r="S165" i="10" s="1"/>
  <c r="W165" i="10" s="1"/>
  <c r="K166" i="10"/>
  <c r="L166" i="10" s="1"/>
  <c r="M166" i="10" s="1"/>
  <c r="N166" i="10"/>
  <c r="O166" i="10" s="1"/>
  <c r="P166" i="10" s="1"/>
  <c r="J168" i="10" l="1"/>
  <c r="G169" i="10"/>
  <c r="H169" i="10" s="1"/>
  <c r="I169" i="10" s="1"/>
  <c r="U169" i="10"/>
  <c r="V169" i="10" s="1"/>
  <c r="F170" i="10"/>
  <c r="R166" i="10"/>
  <c r="T166" i="10" s="1"/>
  <c r="Q166" i="10"/>
  <c r="S166" i="10" s="1"/>
  <c r="W166" i="10" s="1"/>
  <c r="N167" i="10"/>
  <c r="O167" i="10" s="1"/>
  <c r="P167" i="10" s="1"/>
  <c r="K167" i="10"/>
  <c r="L167" i="10" s="1"/>
  <c r="M167" i="10" s="1"/>
  <c r="R167" i="10" l="1"/>
  <c r="T167" i="10" s="1"/>
  <c r="Q167" i="10"/>
  <c r="S167" i="10" s="1"/>
  <c r="W167" i="10" s="1"/>
  <c r="J169" i="10"/>
  <c r="F171" i="10"/>
  <c r="U170" i="10"/>
  <c r="V170" i="10" s="1"/>
  <c r="G170" i="10"/>
  <c r="H170" i="10" s="1"/>
  <c r="I170" i="10" s="1"/>
  <c r="N168" i="10"/>
  <c r="O168" i="10" s="1"/>
  <c r="P168" i="10" s="1"/>
  <c r="K168" i="10"/>
  <c r="L168" i="10" s="1"/>
  <c r="M168" i="10" s="1"/>
  <c r="J170" i="10" l="1"/>
  <c r="U171" i="10"/>
  <c r="V171" i="10" s="1"/>
  <c r="G171" i="10"/>
  <c r="H171" i="10" s="1"/>
  <c r="I171" i="10" s="1"/>
  <c r="F172" i="10"/>
  <c r="N169" i="10"/>
  <c r="O169" i="10" s="1"/>
  <c r="P169" i="10" s="1"/>
  <c r="K169" i="10"/>
  <c r="L169" i="10" s="1"/>
  <c r="M169" i="10" s="1"/>
  <c r="Q168" i="10"/>
  <c r="S168" i="10" s="1"/>
  <c r="W168" i="10" s="1"/>
  <c r="R168" i="10"/>
  <c r="T168" i="10" s="1"/>
  <c r="J171" i="10" l="1"/>
  <c r="R169" i="10"/>
  <c r="T169" i="10" s="1"/>
  <c r="Q169" i="10"/>
  <c r="S169" i="10" s="1"/>
  <c r="W169" i="10" s="1"/>
  <c r="U172" i="10"/>
  <c r="V172" i="10" s="1"/>
  <c r="F173" i="10"/>
  <c r="G172" i="10"/>
  <c r="H172" i="10" s="1"/>
  <c r="I172" i="10" s="1"/>
  <c r="K170" i="10"/>
  <c r="L170" i="10" s="1"/>
  <c r="M170" i="10" s="1"/>
  <c r="N170" i="10"/>
  <c r="O170" i="10" s="1"/>
  <c r="P170" i="10" s="1"/>
  <c r="G173" i="10" l="1"/>
  <c r="H173" i="10" s="1"/>
  <c r="I173" i="10" s="1"/>
  <c r="U173" i="10"/>
  <c r="V173" i="10" s="1"/>
  <c r="F174" i="10"/>
  <c r="K171" i="10"/>
  <c r="L171" i="10" s="1"/>
  <c r="M171" i="10" s="1"/>
  <c r="N171" i="10"/>
  <c r="O171" i="10" s="1"/>
  <c r="P171" i="10" s="1"/>
  <c r="J172" i="10"/>
  <c r="Q170" i="10"/>
  <c r="S170" i="10" s="1"/>
  <c r="W170" i="10" s="1"/>
  <c r="R170" i="10"/>
  <c r="T170" i="10" s="1"/>
  <c r="R171" i="10" l="1"/>
  <c r="T171" i="10" s="1"/>
  <c r="Q171" i="10"/>
  <c r="S171" i="10" s="1"/>
  <c r="W171" i="10" s="1"/>
  <c r="F175" i="10"/>
  <c r="G174" i="10"/>
  <c r="H174" i="10" s="1"/>
  <c r="I174" i="10" s="1"/>
  <c r="U174" i="10"/>
  <c r="V174" i="10" s="1"/>
  <c r="N172" i="10"/>
  <c r="O172" i="10" s="1"/>
  <c r="P172" i="10" s="1"/>
  <c r="K172" i="10"/>
  <c r="L172" i="10" s="1"/>
  <c r="M172" i="10" s="1"/>
  <c r="J173" i="10"/>
  <c r="K173" i="10" l="1"/>
  <c r="L173" i="10" s="1"/>
  <c r="M173" i="10" s="1"/>
  <c r="N173" i="10"/>
  <c r="O173" i="10" s="1"/>
  <c r="P173" i="10" s="1"/>
  <c r="R172" i="10"/>
  <c r="T172" i="10" s="1"/>
  <c r="Q172" i="10"/>
  <c r="S172" i="10" s="1"/>
  <c r="W172" i="10" s="1"/>
  <c r="F176" i="10"/>
  <c r="U175" i="10"/>
  <c r="V175" i="10" s="1"/>
  <c r="G175" i="10"/>
  <c r="H175" i="10" s="1"/>
  <c r="I175" i="10" s="1"/>
  <c r="J174" i="10"/>
  <c r="J175" i="10" l="1"/>
  <c r="U176" i="10"/>
  <c r="V176" i="10" s="1"/>
  <c r="F177" i="10"/>
  <c r="G176" i="10"/>
  <c r="H176" i="10" s="1"/>
  <c r="I176" i="10" s="1"/>
  <c r="N174" i="10"/>
  <c r="O174" i="10" s="1"/>
  <c r="P174" i="10" s="1"/>
  <c r="K174" i="10"/>
  <c r="L174" i="10" s="1"/>
  <c r="M174" i="10" s="1"/>
  <c r="Q173" i="10"/>
  <c r="S173" i="10" s="1"/>
  <c r="W173" i="10" s="1"/>
  <c r="R173" i="10"/>
  <c r="T173" i="10" s="1"/>
  <c r="J176" i="10" l="1"/>
  <c r="G177" i="10"/>
  <c r="H177" i="10" s="1"/>
  <c r="I177" i="10" s="1"/>
  <c r="F178" i="10"/>
  <c r="U177" i="10"/>
  <c r="V177" i="10" s="1"/>
  <c r="R174" i="10"/>
  <c r="T174" i="10" s="1"/>
  <c r="Q174" i="10"/>
  <c r="S174" i="10" s="1"/>
  <c r="W174" i="10" s="1"/>
  <c r="N175" i="10"/>
  <c r="O175" i="10" s="1"/>
  <c r="P175" i="10" s="1"/>
  <c r="K175" i="10"/>
  <c r="L175" i="10" s="1"/>
  <c r="M175" i="10" s="1"/>
  <c r="G178" i="10" l="1"/>
  <c r="H178" i="10" s="1"/>
  <c r="I178" i="10" s="1"/>
  <c r="U178" i="10"/>
  <c r="V178" i="10" s="1"/>
  <c r="F179" i="10"/>
  <c r="R175" i="10"/>
  <c r="T175" i="10" s="1"/>
  <c r="Q175" i="10"/>
  <c r="S175" i="10" s="1"/>
  <c r="W175" i="10" s="1"/>
  <c r="J177" i="10"/>
  <c r="N176" i="10"/>
  <c r="O176" i="10" s="1"/>
  <c r="P176" i="10" s="1"/>
  <c r="K176" i="10"/>
  <c r="L176" i="10" s="1"/>
  <c r="M176" i="10" s="1"/>
  <c r="R176" i="10" l="1"/>
  <c r="T176" i="10" s="1"/>
  <c r="Q176" i="10"/>
  <c r="S176" i="10" s="1"/>
  <c r="W176" i="10" s="1"/>
  <c r="F180" i="10"/>
  <c r="G179" i="10"/>
  <c r="H179" i="10" s="1"/>
  <c r="I179" i="10" s="1"/>
  <c r="U179" i="10"/>
  <c r="V179" i="10" s="1"/>
  <c r="N177" i="10"/>
  <c r="O177" i="10" s="1"/>
  <c r="P177" i="10" s="1"/>
  <c r="K177" i="10"/>
  <c r="L177" i="10" s="1"/>
  <c r="M177" i="10" s="1"/>
  <c r="J178" i="10"/>
  <c r="Q177" i="10" l="1"/>
  <c r="S177" i="10" s="1"/>
  <c r="W177" i="10" s="1"/>
  <c r="R177" i="10"/>
  <c r="T177" i="10" s="1"/>
  <c r="N178" i="10"/>
  <c r="O178" i="10" s="1"/>
  <c r="P178" i="10" s="1"/>
  <c r="K178" i="10"/>
  <c r="L178" i="10" s="1"/>
  <c r="M178" i="10" s="1"/>
  <c r="J179" i="10"/>
  <c r="F181" i="10"/>
  <c r="U180" i="10"/>
  <c r="V180" i="10" s="1"/>
  <c r="G180" i="10"/>
  <c r="H180" i="10" s="1"/>
  <c r="I180" i="10" s="1"/>
  <c r="J180" i="10" l="1"/>
  <c r="F182" i="10"/>
  <c r="U181" i="10"/>
  <c r="V181" i="10" s="1"/>
  <c r="G181" i="10"/>
  <c r="H181" i="10" s="1"/>
  <c r="I181" i="10" s="1"/>
  <c r="Q178" i="10"/>
  <c r="S178" i="10" s="1"/>
  <c r="W178" i="10" s="1"/>
  <c r="R178" i="10"/>
  <c r="T178" i="10" s="1"/>
  <c r="K179" i="10"/>
  <c r="L179" i="10" s="1"/>
  <c r="M179" i="10" s="1"/>
  <c r="N179" i="10"/>
  <c r="O179" i="10" s="1"/>
  <c r="P179" i="10" s="1"/>
  <c r="J181" i="10" l="1"/>
  <c r="F183" i="10"/>
  <c r="U182" i="10"/>
  <c r="V182" i="10" s="1"/>
  <c r="G182" i="10"/>
  <c r="H182" i="10" s="1"/>
  <c r="I182" i="10" s="1"/>
  <c r="R179" i="10"/>
  <c r="T179" i="10" s="1"/>
  <c r="Q179" i="10"/>
  <c r="S179" i="10" s="1"/>
  <c r="W179" i="10" s="1"/>
  <c r="K180" i="10"/>
  <c r="L180" i="10" s="1"/>
  <c r="M180" i="10" s="1"/>
  <c r="N180" i="10"/>
  <c r="O180" i="10" s="1"/>
  <c r="P180" i="10" s="1"/>
  <c r="J182" i="10" l="1"/>
  <c r="F184" i="10"/>
  <c r="G183" i="10"/>
  <c r="H183" i="10" s="1"/>
  <c r="I183" i="10" s="1"/>
  <c r="U183" i="10"/>
  <c r="V183" i="10" s="1"/>
  <c r="R180" i="10"/>
  <c r="T180" i="10" s="1"/>
  <c r="Q180" i="10"/>
  <c r="S180" i="10" s="1"/>
  <c r="K181" i="10"/>
  <c r="L181" i="10" s="1"/>
  <c r="M181" i="10" s="1"/>
  <c r="N181" i="10"/>
  <c r="O181" i="10" s="1"/>
  <c r="P181" i="10" s="1"/>
  <c r="W180" i="10" l="1"/>
  <c r="J183" i="10"/>
  <c r="U184" i="10"/>
  <c r="V184" i="10" s="1"/>
  <c r="G184" i="10"/>
  <c r="H184" i="10" s="1"/>
  <c r="I184" i="10" s="1"/>
  <c r="F185" i="10"/>
  <c r="Q181" i="10"/>
  <c r="S181" i="10" s="1"/>
  <c r="R181" i="10"/>
  <c r="T181" i="10" s="1"/>
  <c r="N182" i="10"/>
  <c r="O182" i="10" s="1"/>
  <c r="P182" i="10" s="1"/>
  <c r="K182" i="10"/>
  <c r="L182" i="10" s="1"/>
  <c r="M182" i="10" s="1"/>
  <c r="W181" i="10" l="1"/>
  <c r="J184" i="10"/>
  <c r="R182" i="10"/>
  <c r="T182" i="10" s="1"/>
  <c r="Q182" i="10"/>
  <c r="S182" i="10" s="1"/>
  <c r="W182" i="10" s="1"/>
  <c r="U185" i="10"/>
  <c r="V185" i="10" s="1"/>
  <c r="F186" i="10"/>
  <c r="G185" i="10"/>
  <c r="H185" i="10" s="1"/>
  <c r="I185" i="10" s="1"/>
  <c r="N183" i="10"/>
  <c r="O183" i="10" s="1"/>
  <c r="P183" i="10" s="1"/>
  <c r="K183" i="10"/>
  <c r="L183" i="10" s="1"/>
  <c r="M183" i="10" s="1"/>
  <c r="J185" i="10" l="1"/>
  <c r="R183" i="10"/>
  <c r="T183" i="10" s="1"/>
  <c r="Q183" i="10"/>
  <c r="S183" i="10" s="1"/>
  <c r="W183" i="10" s="1"/>
  <c r="F187" i="10"/>
  <c r="G186" i="10"/>
  <c r="H186" i="10" s="1"/>
  <c r="I186" i="10" s="1"/>
  <c r="U186" i="10"/>
  <c r="V186" i="10" s="1"/>
  <c r="N184" i="10"/>
  <c r="O184" i="10" s="1"/>
  <c r="P184" i="10" s="1"/>
  <c r="K184" i="10"/>
  <c r="L184" i="10" s="1"/>
  <c r="M184" i="10" s="1"/>
  <c r="Q184" i="10" l="1"/>
  <c r="S184" i="10" s="1"/>
  <c r="W184" i="10" s="1"/>
  <c r="R184" i="10"/>
  <c r="T184" i="10" s="1"/>
  <c r="J186" i="10"/>
  <c r="F188" i="10"/>
  <c r="U187" i="10"/>
  <c r="V187" i="10" s="1"/>
  <c r="G187" i="10"/>
  <c r="H187" i="10" s="1"/>
  <c r="I187" i="10" s="1"/>
  <c r="K185" i="10"/>
  <c r="L185" i="10" s="1"/>
  <c r="M185" i="10" s="1"/>
  <c r="N185" i="10"/>
  <c r="O185" i="10" s="1"/>
  <c r="P185" i="10" s="1"/>
  <c r="Q185" i="10" l="1"/>
  <c r="S185" i="10" s="1"/>
  <c r="W185" i="10" s="1"/>
  <c r="R185" i="10"/>
  <c r="T185" i="10" s="1"/>
  <c r="J187" i="10"/>
  <c r="F189" i="10"/>
  <c r="U188" i="10"/>
  <c r="V188" i="10" s="1"/>
  <c r="G188" i="10"/>
  <c r="H188" i="10" s="1"/>
  <c r="I188" i="10" s="1"/>
  <c r="K186" i="10"/>
  <c r="L186" i="10" s="1"/>
  <c r="M186" i="10" s="1"/>
  <c r="N186" i="10"/>
  <c r="O186" i="10" s="1"/>
  <c r="P186" i="10" s="1"/>
  <c r="R186" i="10" l="1"/>
  <c r="T186" i="10" s="1"/>
  <c r="Q186" i="10"/>
  <c r="S186" i="10" s="1"/>
  <c r="W186" i="10" s="1"/>
  <c r="U189" i="10"/>
  <c r="V189" i="10" s="1"/>
  <c r="G189" i="10"/>
  <c r="H189" i="10" s="1"/>
  <c r="I189" i="10" s="1"/>
  <c r="F190" i="10"/>
  <c r="N187" i="10"/>
  <c r="O187" i="10" s="1"/>
  <c r="P187" i="10" s="1"/>
  <c r="K187" i="10"/>
  <c r="L187" i="10" s="1"/>
  <c r="M187" i="10" s="1"/>
  <c r="J188" i="10"/>
  <c r="Q187" i="10" l="1"/>
  <c r="S187" i="10" s="1"/>
  <c r="W187" i="10" s="1"/>
  <c r="R187" i="10"/>
  <c r="T187" i="10" s="1"/>
  <c r="U190" i="10"/>
  <c r="V190" i="10" s="1"/>
  <c r="G190" i="10"/>
  <c r="H190" i="10" s="1"/>
  <c r="I190" i="10" s="1"/>
  <c r="F191" i="10"/>
  <c r="N188" i="10"/>
  <c r="O188" i="10" s="1"/>
  <c r="P188" i="10" s="1"/>
  <c r="K188" i="10"/>
  <c r="L188" i="10" s="1"/>
  <c r="M188" i="10" s="1"/>
  <c r="J189" i="10"/>
  <c r="J190" i="10" l="1"/>
  <c r="K189" i="10"/>
  <c r="L189" i="10" s="1"/>
  <c r="M189" i="10" s="1"/>
  <c r="N189" i="10"/>
  <c r="O189" i="10" s="1"/>
  <c r="P189" i="10" s="1"/>
  <c r="Q188" i="10"/>
  <c r="S188" i="10" s="1"/>
  <c r="W188" i="10" s="1"/>
  <c r="R188" i="10"/>
  <c r="T188" i="10" s="1"/>
  <c r="U191" i="10"/>
  <c r="V191" i="10" s="1"/>
  <c r="G191" i="10"/>
  <c r="H191" i="10" s="1"/>
  <c r="I191" i="10" s="1"/>
  <c r="F192" i="10"/>
  <c r="J191" i="10" l="1"/>
  <c r="R189" i="10"/>
  <c r="T189" i="10" s="1"/>
  <c r="Q189" i="10"/>
  <c r="S189" i="10" s="1"/>
  <c r="W189" i="10" s="1"/>
  <c r="F193" i="10"/>
  <c r="U192" i="10"/>
  <c r="V192" i="10" s="1"/>
  <c r="G192" i="10"/>
  <c r="H192" i="10" s="1"/>
  <c r="I192" i="10" s="1"/>
  <c r="N190" i="10"/>
  <c r="O190" i="10" s="1"/>
  <c r="P190" i="10" s="1"/>
  <c r="K190" i="10"/>
  <c r="L190" i="10" s="1"/>
  <c r="M190" i="10" s="1"/>
  <c r="Q190" i="10" l="1"/>
  <c r="S190" i="10" s="1"/>
  <c r="W190" i="10" s="1"/>
  <c r="R190" i="10"/>
  <c r="T190" i="10" s="1"/>
  <c r="J192" i="10"/>
  <c r="K191" i="10"/>
  <c r="L191" i="10" s="1"/>
  <c r="M191" i="10" s="1"/>
  <c r="N191" i="10"/>
  <c r="O191" i="10" s="1"/>
  <c r="P191" i="10" s="1"/>
  <c r="U193" i="10"/>
  <c r="V193" i="10" s="1"/>
  <c r="F194" i="10"/>
  <c r="G193" i="10"/>
  <c r="H193" i="10" s="1"/>
  <c r="I193" i="10" s="1"/>
  <c r="J193" i="10" l="1"/>
  <c r="Q191" i="10"/>
  <c r="S191" i="10" s="1"/>
  <c r="R191" i="10"/>
  <c r="T191" i="10" s="1"/>
  <c r="K192" i="10"/>
  <c r="L192" i="10" s="1"/>
  <c r="M192" i="10" s="1"/>
  <c r="N192" i="10"/>
  <c r="O192" i="10" s="1"/>
  <c r="P192" i="10" s="1"/>
  <c r="U194" i="10"/>
  <c r="V194" i="10" s="1"/>
  <c r="G194" i="10"/>
  <c r="H194" i="10" s="1"/>
  <c r="I194" i="10" s="1"/>
  <c r="F195" i="10"/>
  <c r="W191" i="10" l="1"/>
  <c r="Q192" i="10"/>
  <c r="S192" i="10" s="1"/>
  <c r="W192" i="10" s="1"/>
  <c r="R192" i="10"/>
  <c r="T192" i="10" s="1"/>
  <c r="J194" i="10"/>
  <c r="U195" i="10"/>
  <c r="V195" i="10" s="1"/>
  <c r="G195" i="10"/>
  <c r="H195" i="10" s="1"/>
  <c r="I195" i="10" s="1"/>
  <c r="F196" i="10"/>
  <c r="N193" i="10"/>
  <c r="O193" i="10" s="1"/>
  <c r="P193" i="10" s="1"/>
  <c r="K193" i="10"/>
  <c r="L193" i="10" s="1"/>
  <c r="M193" i="10" s="1"/>
  <c r="J195" i="10" l="1"/>
  <c r="K194" i="10"/>
  <c r="L194" i="10" s="1"/>
  <c r="M194" i="10" s="1"/>
  <c r="N194" i="10"/>
  <c r="O194" i="10" s="1"/>
  <c r="P194" i="10" s="1"/>
  <c r="R193" i="10"/>
  <c r="T193" i="10" s="1"/>
  <c r="Q193" i="10"/>
  <c r="S193" i="10" s="1"/>
  <c r="F197" i="10"/>
  <c r="U196" i="10"/>
  <c r="V196" i="10" s="1"/>
  <c r="G196" i="10"/>
  <c r="H196" i="10" s="1"/>
  <c r="I196" i="10" s="1"/>
  <c r="W193" i="10" l="1"/>
  <c r="U197" i="10"/>
  <c r="V197" i="10" s="1"/>
  <c r="G197" i="10"/>
  <c r="H197" i="10" s="1"/>
  <c r="I197" i="10" s="1"/>
  <c r="F198" i="10"/>
  <c r="Q194" i="10"/>
  <c r="S194" i="10" s="1"/>
  <c r="W194" i="10" s="1"/>
  <c r="R194" i="10"/>
  <c r="T194" i="10" s="1"/>
  <c r="J196" i="10"/>
  <c r="K195" i="10"/>
  <c r="L195" i="10" s="1"/>
  <c r="M195" i="10" s="1"/>
  <c r="N195" i="10"/>
  <c r="O195" i="10" s="1"/>
  <c r="P195" i="10" s="1"/>
  <c r="K196" i="10" l="1"/>
  <c r="L196" i="10" s="1"/>
  <c r="M196" i="10" s="1"/>
  <c r="N196" i="10"/>
  <c r="O196" i="10" s="1"/>
  <c r="P196" i="10" s="1"/>
  <c r="F199" i="10"/>
  <c r="U198" i="10"/>
  <c r="V198" i="10" s="1"/>
  <c r="G198" i="10"/>
  <c r="H198" i="10" s="1"/>
  <c r="I198" i="10" s="1"/>
  <c r="J197" i="10"/>
  <c r="R195" i="10"/>
  <c r="T195" i="10" s="1"/>
  <c r="Q195" i="10"/>
  <c r="S195" i="10" s="1"/>
  <c r="W195" i="10" s="1"/>
  <c r="J198" i="10" l="1"/>
  <c r="U199" i="10"/>
  <c r="V199" i="10" s="1"/>
  <c r="F200" i="10"/>
  <c r="G199" i="10"/>
  <c r="H199" i="10" s="1"/>
  <c r="I199" i="10" s="1"/>
  <c r="N197" i="10"/>
  <c r="O197" i="10" s="1"/>
  <c r="P197" i="10" s="1"/>
  <c r="K197" i="10"/>
  <c r="L197" i="10" s="1"/>
  <c r="M197" i="10" s="1"/>
  <c r="Q196" i="10"/>
  <c r="S196" i="10" s="1"/>
  <c r="R196" i="10"/>
  <c r="T196" i="10" s="1"/>
  <c r="W196" i="10" l="1"/>
  <c r="J199" i="10"/>
  <c r="G200" i="10"/>
  <c r="H200" i="10" s="1"/>
  <c r="I200" i="10" s="1"/>
  <c r="U200" i="10"/>
  <c r="V200" i="10" s="1"/>
  <c r="F201" i="10"/>
  <c r="Q197" i="10"/>
  <c r="S197" i="10" s="1"/>
  <c r="W197" i="10" s="1"/>
  <c r="R197" i="10"/>
  <c r="T197" i="10" s="1"/>
  <c r="K198" i="10"/>
  <c r="L198" i="10" s="1"/>
  <c r="M198" i="10" s="1"/>
  <c r="N198" i="10"/>
  <c r="O198" i="10" s="1"/>
  <c r="P198" i="10" s="1"/>
  <c r="J200" i="10" l="1"/>
  <c r="F202" i="10"/>
  <c r="G201" i="10"/>
  <c r="H201" i="10" s="1"/>
  <c r="I201" i="10" s="1"/>
  <c r="U201" i="10"/>
  <c r="V201" i="10" s="1"/>
  <c r="Q198" i="10"/>
  <c r="S198" i="10" s="1"/>
  <c r="W198" i="10" s="1"/>
  <c r="R198" i="10"/>
  <c r="T198" i="10" s="1"/>
  <c r="N199" i="10"/>
  <c r="O199" i="10" s="1"/>
  <c r="P199" i="10" s="1"/>
  <c r="K199" i="10"/>
  <c r="L199" i="10" s="1"/>
  <c r="M199" i="10" s="1"/>
  <c r="R199" i="10" l="1"/>
  <c r="T199" i="10" s="1"/>
  <c r="Q199" i="10"/>
  <c r="S199" i="10" s="1"/>
  <c r="W199" i="10" s="1"/>
  <c r="J201" i="10"/>
  <c r="F203" i="10"/>
  <c r="G202" i="10"/>
  <c r="H202" i="10" s="1"/>
  <c r="I202" i="10" s="1"/>
  <c r="U202" i="10"/>
  <c r="V202" i="10" s="1"/>
  <c r="K200" i="10"/>
  <c r="L200" i="10" s="1"/>
  <c r="M200" i="10" s="1"/>
  <c r="N200" i="10"/>
  <c r="O200" i="10" s="1"/>
  <c r="P200" i="10" s="1"/>
  <c r="J202" i="10" l="1"/>
  <c r="U203" i="10"/>
  <c r="V203" i="10" s="1"/>
  <c r="F204" i="10"/>
  <c r="G203" i="10"/>
  <c r="H203" i="10" s="1"/>
  <c r="I203" i="10" s="1"/>
  <c r="N201" i="10"/>
  <c r="O201" i="10" s="1"/>
  <c r="P201" i="10" s="1"/>
  <c r="K201" i="10"/>
  <c r="L201" i="10" s="1"/>
  <c r="M201" i="10" s="1"/>
  <c r="R200" i="10"/>
  <c r="T200" i="10" s="1"/>
  <c r="Q200" i="10"/>
  <c r="S200" i="10" s="1"/>
  <c r="W200" i="10" s="1"/>
  <c r="R201" i="10" l="1"/>
  <c r="T201" i="10" s="1"/>
  <c r="Q201" i="10"/>
  <c r="S201" i="10" s="1"/>
  <c r="W201" i="10" s="1"/>
  <c r="J203" i="10"/>
  <c r="G204" i="10"/>
  <c r="H204" i="10" s="1"/>
  <c r="I204" i="10" s="1"/>
  <c r="F205" i="10"/>
  <c r="U204" i="10"/>
  <c r="V204" i="10" s="1"/>
  <c r="K202" i="10"/>
  <c r="L202" i="10" s="1"/>
  <c r="M202" i="10" s="1"/>
  <c r="N202" i="10"/>
  <c r="O202" i="10" s="1"/>
  <c r="P202" i="10" s="1"/>
  <c r="U205" i="10" l="1"/>
  <c r="V205" i="10" s="1"/>
  <c r="F206" i="10"/>
  <c r="G205" i="10"/>
  <c r="H205" i="10" s="1"/>
  <c r="I205" i="10" s="1"/>
  <c r="J204" i="10"/>
  <c r="K203" i="10"/>
  <c r="L203" i="10" s="1"/>
  <c r="M203" i="10" s="1"/>
  <c r="N203" i="10"/>
  <c r="O203" i="10" s="1"/>
  <c r="P203" i="10" s="1"/>
  <c r="R202" i="10"/>
  <c r="T202" i="10" s="1"/>
  <c r="Q202" i="10"/>
  <c r="S202" i="10" s="1"/>
  <c r="W202" i="10" s="1"/>
  <c r="Q203" i="10" l="1"/>
  <c r="S203" i="10" s="1"/>
  <c r="W203" i="10" s="1"/>
  <c r="R203" i="10"/>
  <c r="T203" i="10" s="1"/>
  <c r="J205" i="10"/>
  <c r="K204" i="10"/>
  <c r="L204" i="10" s="1"/>
  <c r="M204" i="10" s="1"/>
  <c r="N204" i="10"/>
  <c r="O204" i="10" s="1"/>
  <c r="P204" i="10" s="1"/>
  <c r="F207" i="10"/>
  <c r="G206" i="10"/>
  <c r="H206" i="10" s="1"/>
  <c r="I206" i="10" s="1"/>
  <c r="U206" i="10"/>
  <c r="V206" i="10" s="1"/>
  <c r="F208" i="10" l="1"/>
  <c r="G207" i="10"/>
  <c r="H207" i="10" s="1"/>
  <c r="I207" i="10" s="1"/>
  <c r="U207" i="10"/>
  <c r="V207" i="10" s="1"/>
  <c r="J206" i="10"/>
  <c r="K205" i="10"/>
  <c r="L205" i="10" s="1"/>
  <c r="M205" i="10" s="1"/>
  <c r="N205" i="10"/>
  <c r="O205" i="10" s="1"/>
  <c r="P205" i="10" s="1"/>
  <c r="R204" i="10"/>
  <c r="T204" i="10" s="1"/>
  <c r="Q204" i="10"/>
  <c r="S204" i="10" s="1"/>
  <c r="W204" i="10" s="1"/>
  <c r="Q205" i="10" l="1"/>
  <c r="S205" i="10" s="1"/>
  <c r="W205" i="10" s="1"/>
  <c r="R205" i="10"/>
  <c r="T205" i="10" s="1"/>
  <c r="N206" i="10"/>
  <c r="O206" i="10" s="1"/>
  <c r="P206" i="10" s="1"/>
  <c r="K206" i="10"/>
  <c r="L206" i="10" s="1"/>
  <c r="M206" i="10" s="1"/>
  <c r="J207" i="10"/>
  <c r="U208" i="10"/>
  <c r="V208" i="10" s="1"/>
  <c r="F209" i="10"/>
  <c r="G208" i="10"/>
  <c r="H208" i="10" s="1"/>
  <c r="I208" i="10" s="1"/>
  <c r="N207" i="10" l="1"/>
  <c r="O207" i="10" s="1"/>
  <c r="P207" i="10" s="1"/>
  <c r="K207" i="10"/>
  <c r="L207" i="10" s="1"/>
  <c r="M207" i="10" s="1"/>
  <c r="J208" i="10"/>
  <c r="Q206" i="10"/>
  <c r="S206" i="10" s="1"/>
  <c r="W206" i="10" s="1"/>
  <c r="R206" i="10"/>
  <c r="T206" i="10" s="1"/>
  <c r="G209" i="10"/>
  <c r="H209" i="10" s="1"/>
  <c r="I209" i="10" s="1"/>
  <c r="U209" i="10"/>
  <c r="V209" i="10" s="1"/>
  <c r="F210" i="10"/>
  <c r="J209" i="10" l="1"/>
  <c r="N208" i="10"/>
  <c r="O208" i="10" s="1"/>
  <c r="P208" i="10" s="1"/>
  <c r="K208" i="10"/>
  <c r="L208" i="10" s="1"/>
  <c r="M208" i="10" s="1"/>
  <c r="F211" i="10"/>
  <c r="G210" i="10"/>
  <c r="H210" i="10" s="1"/>
  <c r="I210" i="10" s="1"/>
  <c r="U210" i="10"/>
  <c r="V210" i="10" s="1"/>
  <c r="Q207" i="10"/>
  <c r="S207" i="10" s="1"/>
  <c r="W207" i="10" s="1"/>
  <c r="R207" i="10"/>
  <c r="T207" i="10" s="1"/>
  <c r="R208" i="10" l="1"/>
  <c r="T208" i="10" s="1"/>
  <c r="Q208" i="10"/>
  <c r="S208" i="10" s="1"/>
  <c r="W208" i="10" s="1"/>
  <c r="J210" i="10"/>
  <c r="F212" i="10"/>
  <c r="U211" i="10"/>
  <c r="V211" i="10" s="1"/>
  <c r="G211" i="10"/>
  <c r="H211" i="10" s="1"/>
  <c r="I211" i="10" s="1"/>
  <c r="K209" i="10"/>
  <c r="L209" i="10" s="1"/>
  <c r="M209" i="10" s="1"/>
  <c r="N209" i="10"/>
  <c r="O209" i="10" s="1"/>
  <c r="P209" i="10" s="1"/>
  <c r="J211" i="10" l="1"/>
  <c r="U212" i="10"/>
  <c r="V212" i="10" s="1"/>
  <c r="G212" i="10"/>
  <c r="H212" i="10" s="1"/>
  <c r="I212" i="10" s="1"/>
  <c r="F213" i="10"/>
  <c r="N210" i="10"/>
  <c r="O210" i="10" s="1"/>
  <c r="P210" i="10" s="1"/>
  <c r="K210" i="10"/>
  <c r="L210" i="10" s="1"/>
  <c r="M210" i="10" s="1"/>
  <c r="Q209" i="10"/>
  <c r="S209" i="10" s="1"/>
  <c r="W209" i="10" s="1"/>
  <c r="R209" i="10"/>
  <c r="T209" i="10" s="1"/>
  <c r="J212" i="10" l="1"/>
  <c r="Q210" i="10"/>
  <c r="S210" i="10" s="1"/>
  <c r="R210" i="10"/>
  <c r="T210" i="10" s="1"/>
  <c r="G213" i="10"/>
  <c r="H213" i="10" s="1"/>
  <c r="I213" i="10" s="1"/>
  <c r="F214" i="10"/>
  <c r="U213" i="10"/>
  <c r="V213" i="10" s="1"/>
  <c r="N211" i="10"/>
  <c r="O211" i="10" s="1"/>
  <c r="P211" i="10" s="1"/>
  <c r="K211" i="10"/>
  <c r="L211" i="10" s="1"/>
  <c r="M211" i="10" s="1"/>
  <c r="W210" i="10" l="1"/>
  <c r="F215" i="10"/>
  <c r="U214" i="10"/>
  <c r="V214" i="10" s="1"/>
  <c r="G214" i="10"/>
  <c r="H214" i="10" s="1"/>
  <c r="I214" i="10" s="1"/>
  <c r="N212" i="10"/>
  <c r="O212" i="10" s="1"/>
  <c r="P212" i="10" s="1"/>
  <c r="K212" i="10"/>
  <c r="L212" i="10" s="1"/>
  <c r="M212" i="10" s="1"/>
  <c r="R211" i="10"/>
  <c r="T211" i="10" s="1"/>
  <c r="Q211" i="10"/>
  <c r="S211" i="10" s="1"/>
  <c r="J213" i="10"/>
  <c r="W211" i="10" l="1"/>
  <c r="Q212" i="10"/>
  <c r="S212" i="10" s="1"/>
  <c r="W212" i="10" s="1"/>
  <c r="R212" i="10"/>
  <c r="T212" i="10" s="1"/>
  <c r="J214" i="10"/>
  <c r="K213" i="10"/>
  <c r="L213" i="10" s="1"/>
  <c r="M213" i="10" s="1"/>
  <c r="N213" i="10"/>
  <c r="O213" i="10" s="1"/>
  <c r="P213" i="10" s="1"/>
  <c r="U215" i="10"/>
  <c r="V215" i="10" s="1"/>
  <c r="G215" i="10"/>
  <c r="H215" i="10" s="1"/>
  <c r="I215" i="10" s="1"/>
  <c r="F216" i="10"/>
  <c r="F217" i="10" l="1"/>
  <c r="G216" i="10"/>
  <c r="H216" i="10" s="1"/>
  <c r="I216" i="10" s="1"/>
  <c r="U216" i="10"/>
  <c r="V216" i="10" s="1"/>
  <c r="J215" i="10"/>
  <c r="K214" i="10"/>
  <c r="L214" i="10" s="1"/>
  <c r="M214" i="10" s="1"/>
  <c r="N214" i="10"/>
  <c r="O214" i="10" s="1"/>
  <c r="P214" i="10" s="1"/>
  <c r="Q213" i="10"/>
  <c r="S213" i="10" s="1"/>
  <c r="W213" i="10" s="1"/>
  <c r="R213" i="10"/>
  <c r="T213" i="10" s="1"/>
  <c r="R214" i="10" l="1"/>
  <c r="T214" i="10" s="1"/>
  <c r="Q214" i="10"/>
  <c r="S214" i="10" s="1"/>
  <c r="W214" i="10" s="1"/>
  <c r="J216" i="10"/>
  <c r="N215" i="10"/>
  <c r="O215" i="10" s="1"/>
  <c r="P215" i="10" s="1"/>
  <c r="K215" i="10"/>
  <c r="L215" i="10" s="1"/>
  <c r="M215" i="10" s="1"/>
  <c r="F218" i="10"/>
  <c r="G217" i="10"/>
  <c r="H217" i="10" s="1"/>
  <c r="I217" i="10" s="1"/>
  <c r="U217" i="10"/>
  <c r="V217" i="10" s="1"/>
  <c r="F219" i="10" l="1"/>
  <c r="G218" i="10"/>
  <c r="H218" i="10" s="1"/>
  <c r="I218" i="10" s="1"/>
  <c r="U218" i="10"/>
  <c r="V218" i="10" s="1"/>
  <c r="J217" i="10"/>
  <c r="R215" i="10"/>
  <c r="T215" i="10" s="1"/>
  <c r="Q215" i="10"/>
  <c r="S215" i="10" s="1"/>
  <c r="W215" i="10" s="1"/>
  <c r="K216" i="10"/>
  <c r="L216" i="10" s="1"/>
  <c r="M216" i="10" s="1"/>
  <c r="N216" i="10"/>
  <c r="O216" i="10" s="1"/>
  <c r="P216" i="10" s="1"/>
  <c r="N217" i="10" l="1"/>
  <c r="O217" i="10" s="1"/>
  <c r="P217" i="10" s="1"/>
  <c r="K217" i="10"/>
  <c r="L217" i="10" s="1"/>
  <c r="M217" i="10" s="1"/>
  <c r="J218" i="10"/>
  <c r="Q216" i="10"/>
  <c r="S216" i="10" s="1"/>
  <c r="W216" i="10" s="1"/>
  <c r="R216" i="10"/>
  <c r="T216" i="10" s="1"/>
  <c r="U219" i="10"/>
  <c r="V219" i="10" s="1"/>
  <c r="G219" i="10"/>
  <c r="H219" i="10" s="1"/>
  <c r="I219" i="10" s="1"/>
  <c r="F220" i="10"/>
  <c r="J219" i="10" l="1"/>
  <c r="N218" i="10"/>
  <c r="O218" i="10" s="1"/>
  <c r="P218" i="10" s="1"/>
  <c r="K218" i="10"/>
  <c r="L218" i="10" s="1"/>
  <c r="M218" i="10" s="1"/>
  <c r="F221" i="10"/>
  <c r="U220" i="10"/>
  <c r="V220" i="10" s="1"/>
  <c r="G220" i="10"/>
  <c r="H220" i="10" s="1"/>
  <c r="I220" i="10" s="1"/>
  <c r="Q217" i="10"/>
  <c r="S217" i="10" s="1"/>
  <c r="W217" i="10" s="1"/>
  <c r="R217" i="10"/>
  <c r="T217" i="10" s="1"/>
  <c r="R218" i="10" l="1"/>
  <c r="T218" i="10" s="1"/>
  <c r="Q218" i="10"/>
  <c r="S218" i="10" s="1"/>
  <c r="W218" i="10" s="1"/>
  <c r="K219" i="10"/>
  <c r="L219" i="10" s="1"/>
  <c r="M219" i="10" s="1"/>
  <c r="N219" i="10"/>
  <c r="O219" i="10" s="1"/>
  <c r="P219" i="10" s="1"/>
  <c r="J220" i="10"/>
  <c r="U221" i="10"/>
  <c r="V221" i="10" s="1"/>
  <c r="F222" i="10"/>
  <c r="G221" i="10"/>
  <c r="H221" i="10" s="1"/>
  <c r="I221" i="10" s="1"/>
  <c r="N220" i="10" l="1"/>
  <c r="O220" i="10" s="1"/>
  <c r="P220" i="10" s="1"/>
  <c r="K220" i="10"/>
  <c r="L220" i="10" s="1"/>
  <c r="M220" i="10" s="1"/>
  <c r="R219" i="10"/>
  <c r="T219" i="10" s="1"/>
  <c r="Q219" i="10"/>
  <c r="S219" i="10" s="1"/>
  <c r="W219" i="10" s="1"/>
  <c r="U222" i="10"/>
  <c r="V222" i="10" s="1"/>
  <c r="G222" i="10"/>
  <c r="H222" i="10" s="1"/>
  <c r="I222" i="10" s="1"/>
  <c r="F223" i="10"/>
  <c r="J221" i="10"/>
  <c r="N221" i="10" l="1"/>
  <c r="O221" i="10" s="1"/>
  <c r="P221" i="10" s="1"/>
  <c r="K221" i="10"/>
  <c r="L221" i="10" s="1"/>
  <c r="M221" i="10" s="1"/>
  <c r="F224" i="10"/>
  <c r="U223" i="10"/>
  <c r="V223" i="10" s="1"/>
  <c r="G223" i="10"/>
  <c r="H223" i="10" s="1"/>
  <c r="I223" i="10" s="1"/>
  <c r="J222" i="10"/>
  <c r="R220" i="10"/>
  <c r="T220" i="10" s="1"/>
  <c r="Q220" i="10"/>
  <c r="S220" i="10" s="1"/>
  <c r="W220" i="10" s="1"/>
  <c r="K222" i="10" l="1"/>
  <c r="L222" i="10" s="1"/>
  <c r="M222" i="10" s="1"/>
  <c r="N222" i="10"/>
  <c r="O222" i="10" s="1"/>
  <c r="P222" i="10" s="1"/>
  <c r="F225" i="10"/>
  <c r="G224" i="10"/>
  <c r="H224" i="10" s="1"/>
  <c r="I224" i="10" s="1"/>
  <c r="U224" i="10"/>
  <c r="V224" i="10" s="1"/>
  <c r="J223" i="10"/>
  <c r="Q221" i="10"/>
  <c r="S221" i="10" s="1"/>
  <c r="R221" i="10"/>
  <c r="T221" i="10" s="1"/>
  <c r="W221" i="10" l="1"/>
  <c r="J224" i="10"/>
  <c r="F226" i="10"/>
  <c r="U225" i="10"/>
  <c r="V225" i="10" s="1"/>
  <c r="G225" i="10"/>
  <c r="H225" i="10" s="1"/>
  <c r="I225" i="10" s="1"/>
  <c r="Q222" i="10"/>
  <c r="S222" i="10" s="1"/>
  <c r="W222" i="10" s="1"/>
  <c r="R222" i="10"/>
  <c r="T222" i="10" s="1"/>
  <c r="K223" i="10"/>
  <c r="L223" i="10" s="1"/>
  <c r="M223" i="10" s="1"/>
  <c r="N223" i="10"/>
  <c r="O223" i="10" s="1"/>
  <c r="P223" i="10" s="1"/>
  <c r="J225" i="10" l="1"/>
  <c r="F227" i="10"/>
  <c r="G226" i="10"/>
  <c r="H226" i="10" s="1"/>
  <c r="I226" i="10" s="1"/>
  <c r="U226" i="10"/>
  <c r="V226" i="10" s="1"/>
  <c r="N224" i="10"/>
  <c r="O224" i="10" s="1"/>
  <c r="P224" i="10" s="1"/>
  <c r="K224" i="10"/>
  <c r="L224" i="10" s="1"/>
  <c r="M224" i="10" s="1"/>
  <c r="R223" i="10"/>
  <c r="T223" i="10" s="1"/>
  <c r="Q223" i="10"/>
  <c r="S223" i="10" s="1"/>
  <c r="W223" i="10" s="1"/>
  <c r="R224" i="10" l="1"/>
  <c r="T224" i="10" s="1"/>
  <c r="Q224" i="10"/>
  <c r="S224" i="10" s="1"/>
  <c r="W224" i="10" s="1"/>
  <c r="J226" i="10"/>
  <c r="U227" i="10"/>
  <c r="V227" i="10" s="1"/>
  <c r="G227" i="10"/>
  <c r="H227" i="10" s="1"/>
  <c r="I227" i="10" s="1"/>
  <c r="F228" i="10"/>
  <c r="N225" i="10"/>
  <c r="O225" i="10" s="1"/>
  <c r="P225" i="10" s="1"/>
  <c r="K225" i="10"/>
  <c r="L225" i="10" s="1"/>
  <c r="M225" i="10" s="1"/>
  <c r="R225" i="10" l="1"/>
  <c r="T225" i="10" s="1"/>
  <c r="Q225" i="10"/>
  <c r="S225" i="10" s="1"/>
  <c r="W225" i="10" s="1"/>
  <c r="J227" i="10"/>
  <c r="N226" i="10"/>
  <c r="O226" i="10" s="1"/>
  <c r="P226" i="10" s="1"/>
  <c r="K226" i="10"/>
  <c r="L226" i="10" s="1"/>
  <c r="M226" i="10" s="1"/>
  <c r="U228" i="10"/>
  <c r="V228" i="10" s="1"/>
  <c r="G228" i="10"/>
  <c r="H228" i="10" s="1"/>
  <c r="I228" i="10" s="1"/>
  <c r="F229" i="10"/>
  <c r="J228" i="10" l="1"/>
  <c r="N227" i="10"/>
  <c r="O227" i="10" s="1"/>
  <c r="P227" i="10" s="1"/>
  <c r="K227" i="10"/>
  <c r="L227" i="10" s="1"/>
  <c r="M227" i="10" s="1"/>
  <c r="R226" i="10"/>
  <c r="T226" i="10" s="1"/>
  <c r="Q226" i="10"/>
  <c r="S226" i="10" s="1"/>
  <c r="W226" i="10" s="1"/>
  <c r="F230" i="10"/>
  <c r="U229" i="10"/>
  <c r="V229" i="10" s="1"/>
  <c r="G229" i="10"/>
  <c r="H229" i="10" s="1"/>
  <c r="I229" i="10" s="1"/>
  <c r="F231" i="10" l="1"/>
  <c r="G230" i="10"/>
  <c r="H230" i="10" s="1"/>
  <c r="I230" i="10" s="1"/>
  <c r="U230" i="10"/>
  <c r="V230" i="10" s="1"/>
  <c r="R227" i="10"/>
  <c r="T227" i="10" s="1"/>
  <c r="Q227" i="10"/>
  <c r="S227" i="10" s="1"/>
  <c r="W227" i="10" s="1"/>
  <c r="N228" i="10"/>
  <c r="O228" i="10" s="1"/>
  <c r="P228" i="10" s="1"/>
  <c r="K228" i="10"/>
  <c r="L228" i="10" s="1"/>
  <c r="M228" i="10" s="1"/>
  <c r="J229" i="10"/>
  <c r="R228" i="10" l="1"/>
  <c r="T228" i="10" s="1"/>
  <c r="Q228" i="10"/>
  <c r="S228" i="10" s="1"/>
  <c r="W228" i="10" s="1"/>
  <c r="J230" i="10"/>
  <c r="N229" i="10"/>
  <c r="O229" i="10" s="1"/>
  <c r="P229" i="10" s="1"/>
  <c r="K229" i="10"/>
  <c r="L229" i="10" s="1"/>
  <c r="M229" i="10" s="1"/>
  <c r="F232" i="10"/>
  <c r="U231" i="10"/>
  <c r="V231" i="10" s="1"/>
  <c r="G231" i="10"/>
  <c r="H231" i="10" s="1"/>
  <c r="I231" i="10" s="1"/>
  <c r="Q229" i="10" l="1"/>
  <c r="S229" i="10" s="1"/>
  <c r="W229" i="10" s="1"/>
  <c r="R229" i="10"/>
  <c r="T229" i="10" s="1"/>
  <c r="N230" i="10"/>
  <c r="O230" i="10" s="1"/>
  <c r="P230" i="10" s="1"/>
  <c r="K230" i="10"/>
  <c r="L230" i="10" s="1"/>
  <c r="M230" i="10" s="1"/>
  <c r="G232" i="10"/>
  <c r="H232" i="10" s="1"/>
  <c r="I232" i="10" s="1"/>
  <c r="U232" i="10"/>
  <c r="V232" i="10" s="1"/>
  <c r="F233" i="10"/>
  <c r="J231" i="10"/>
  <c r="J232" i="10" l="1"/>
  <c r="N231" i="10"/>
  <c r="O231" i="10" s="1"/>
  <c r="P231" i="10" s="1"/>
  <c r="K231" i="10"/>
  <c r="L231" i="10" s="1"/>
  <c r="M231" i="10" s="1"/>
  <c r="Q230" i="10"/>
  <c r="S230" i="10" s="1"/>
  <c r="W230" i="10" s="1"/>
  <c r="R230" i="10"/>
  <c r="T230" i="10" s="1"/>
  <c r="F234" i="10"/>
  <c r="G233" i="10"/>
  <c r="H233" i="10" s="1"/>
  <c r="I233" i="10" s="1"/>
  <c r="U233" i="10"/>
  <c r="V233" i="10" s="1"/>
  <c r="J233" i="10" l="1"/>
  <c r="U234" i="10"/>
  <c r="V234" i="10" s="1"/>
  <c r="F235" i="10"/>
  <c r="G234" i="10"/>
  <c r="H234" i="10" s="1"/>
  <c r="I234" i="10" s="1"/>
  <c r="R231" i="10"/>
  <c r="T231" i="10" s="1"/>
  <c r="Q231" i="10"/>
  <c r="S231" i="10" s="1"/>
  <c r="W231" i="10" s="1"/>
  <c r="N232" i="10"/>
  <c r="O232" i="10" s="1"/>
  <c r="P232" i="10" s="1"/>
  <c r="K232" i="10"/>
  <c r="L232" i="10" s="1"/>
  <c r="M232" i="10" s="1"/>
  <c r="F236" i="10" l="1"/>
  <c r="G235" i="10"/>
  <c r="H235" i="10" s="1"/>
  <c r="I235" i="10" s="1"/>
  <c r="U235" i="10"/>
  <c r="V235" i="10" s="1"/>
  <c r="R232" i="10"/>
  <c r="T232" i="10" s="1"/>
  <c r="Q232" i="10"/>
  <c r="S232" i="10" s="1"/>
  <c r="W232" i="10" s="1"/>
  <c r="J234" i="10"/>
  <c r="K233" i="10"/>
  <c r="L233" i="10" s="1"/>
  <c r="M233" i="10" s="1"/>
  <c r="N233" i="10"/>
  <c r="O233" i="10" s="1"/>
  <c r="P233" i="10" s="1"/>
  <c r="K234" i="10" l="1"/>
  <c r="L234" i="10" s="1"/>
  <c r="M234" i="10" s="1"/>
  <c r="N234" i="10"/>
  <c r="O234" i="10" s="1"/>
  <c r="P234" i="10" s="1"/>
  <c r="J235" i="10"/>
  <c r="R233" i="10"/>
  <c r="T233" i="10" s="1"/>
  <c r="Q233" i="10"/>
  <c r="S233" i="10" s="1"/>
  <c r="W233" i="10" s="1"/>
  <c r="U236" i="10"/>
  <c r="V236" i="10" s="1"/>
  <c r="F237" i="10"/>
  <c r="G236" i="10"/>
  <c r="H236" i="10" s="1"/>
  <c r="I236" i="10" s="1"/>
  <c r="K235" i="10" l="1"/>
  <c r="L235" i="10" s="1"/>
  <c r="M235" i="10" s="1"/>
  <c r="N235" i="10"/>
  <c r="O235" i="10" s="1"/>
  <c r="P235" i="10" s="1"/>
  <c r="R234" i="10"/>
  <c r="T234" i="10" s="1"/>
  <c r="Q234" i="10"/>
  <c r="S234" i="10" s="1"/>
  <c r="W234" i="10" s="1"/>
  <c r="F238" i="10"/>
  <c r="U237" i="10"/>
  <c r="V237" i="10" s="1"/>
  <c r="G237" i="10"/>
  <c r="H237" i="10" s="1"/>
  <c r="I237" i="10" s="1"/>
  <c r="J236" i="10"/>
  <c r="K236" i="10" l="1"/>
  <c r="L236" i="10" s="1"/>
  <c r="M236" i="10" s="1"/>
  <c r="N236" i="10"/>
  <c r="O236" i="10" s="1"/>
  <c r="P236" i="10" s="1"/>
  <c r="U238" i="10"/>
  <c r="V238" i="10" s="1"/>
  <c r="F239" i="10"/>
  <c r="G238" i="10"/>
  <c r="H238" i="10" s="1"/>
  <c r="I238" i="10" s="1"/>
  <c r="J237" i="10"/>
  <c r="Q235" i="10"/>
  <c r="S235" i="10" s="1"/>
  <c r="R235" i="10"/>
  <c r="T235" i="10" s="1"/>
  <c r="W235" i="10" l="1"/>
  <c r="U239" i="10"/>
  <c r="V239" i="10" s="1"/>
  <c r="F240" i="10"/>
  <c r="G239" i="10"/>
  <c r="H239" i="10" s="1"/>
  <c r="I239" i="10" s="1"/>
  <c r="J238" i="10"/>
  <c r="R236" i="10"/>
  <c r="T236" i="10" s="1"/>
  <c r="Q236" i="10"/>
  <c r="S236" i="10" s="1"/>
  <c r="W236" i="10" s="1"/>
  <c r="K237" i="10"/>
  <c r="L237" i="10" s="1"/>
  <c r="M237" i="10" s="1"/>
  <c r="N237" i="10"/>
  <c r="O237" i="10" s="1"/>
  <c r="P237" i="10" s="1"/>
  <c r="N238" i="10" l="1"/>
  <c r="O238" i="10" s="1"/>
  <c r="P238" i="10" s="1"/>
  <c r="K238" i="10"/>
  <c r="L238" i="10" s="1"/>
  <c r="M238" i="10" s="1"/>
  <c r="J239" i="10"/>
  <c r="G240" i="10"/>
  <c r="H240" i="10" s="1"/>
  <c r="I240" i="10" s="1"/>
  <c r="U240" i="10"/>
  <c r="V240" i="10" s="1"/>
  <c r="F241" i="10"/>
  <c r="R237" i="10"/>
  <c r="T237" i="10" s="1"/>
  <c r="Q237" i="10"/>
  <c r="S237" i="10" s="1"/>
  <c r="W237" i="10" s="1"/>
  <c r="J240" i="10" l="1"/>
  <c r="N239" i="10"/>
  <c r="O239" i="10" s="1"/>
  <c r="P239" i="10" s="1"/>
  <c r="K239" i="10"/>
  <c r="L239" i="10" s="1"/>
  <c r="M239" i="10" s="1"/>
  <c r="F242" i="10"/>
  <c r="G241" i="10"/>
  <c r="H241" i="10" s="1"/>
  <c r="I241" i="10" s="1"/>
  <c r="U241" i="10"/>
  <c r="V241" i="10" s="1"/>
  <c r="R238" i="10"/>
  <c r="T238" i="10" s="1"/>
  <c r="Q238" i="10"/>
  <c r="S238" i="10" s="1"/>
  <c r="W238" i="10" s="1"/>
  <c r="J241" i="10" l="1"/>
  <c r="F243" i="10"/>
  <c r="U242" i="10"/>
  <c r="V242" i="10" s="1"/>
  <c r="G242" i="10"/>
  <c r="H242" i="10" s="1"/>
  <c r="I242" i="10" s="1"/>
  <c r="Q239" i="10"/>
  <c r="S239" i="10" s="1"/>
  <c r="R239" i="10"/>
  <c r="T239" i="10" s="1"/>
  <c r="N240" i="10"/>
  <c r="O240" i="10" s="1"/>
  <c r="P240" i="10" s="1"/>
  <c r="K240" i="10"/>
  <c r="L240" i="10" s="1"/>
  <c r="M240" i="10" s="1"/>
  <c r="W239" i="10" l="1"/>
  <c r="Q240" i="10"/>
  <c r="S240" i="10" s="1"/>
  <c r="W240" i="10" s="1"/>
  <c r="R240" i="10"/>
  <c r="T240" i="10" s="1"/>
  <c r="J242" i="10"/>
  <c r="F244" i="10"/>
  <c r="U243" i="10"/>
  <c r="V243" i="10" s="1"/>
  <c r="G243" i="10"/>
  <c r="H243" i="10" s="1"/>
  <c r="I243" i="10" s="1"/>
  <c r="K241" i="10"/>
  <c r="L241" i="10" s="1"/>
  <c r="M241" i="10" s="1"/>
  <c r="N241" i="10"/>
  <c r="O241" i="10" s="1"/>
  <c r="P241" i="10" s="1"/>
  <c r="Q241" i="10" l="1"/>
  <c r="S241" i="10" s="1"/>
  <c r="W241" i="10" s="1"/>
  <c r="R241" i="10"/>
  <c r="T241" i="10" s="1"/>
  <c r="J243" i="10"/>
  <c r="U244" i="10"/>
  <c r="V244" i="10" s="1"/>
  <c r="F245" i="10"/>
  <c r="G244" i="10"/>
  <c r="H244" i="10" s="1"/>
  <c r="I244" i="10" s="1"/>
  <c r="N242" i="10"/>
  <c r="O242" i="10" s="1"/>
  <c r="P242" i="10" s="1"/>
  <c r="K242" i="10"/>
  <c r="L242" i="10" s="1"/>
  <c r="M242" i="10" s="1"/>
  <c r="R242" i="10" l="1"/>
  <c r="T242" i="10" s="1"/>
  <c r="Q242" i="10"/>
  <c r="S242" i="10" s="1"/>
  <c r="W242" i="10" s="1"/>
  <c r="J244" i="10"/>
  <c r="U245" i="10"/>
  <c r="V245" i="10" s="1"/>
  <c r="F246" i="10"/>
  <c r="G245" i="10"/>
  <c r="H245" i="10" s="1"/>
  <c r="I245" i="10" s="1"/>
  <c r="K243" i="10"/>
  <c r="L243" i="10" s="1"/>
  <c r="M243" i="10" s="1"/>
  <c r="N243" i="10"/>
  <c r="O243" i="10" s="1"/>
  <c r="P243" i="10" s="1"/>
  <c r="J245" i="10" l="1"/>
  <c r="F247" i="10"/>
  <c r="G246" i="10"/>
  <c r="H246" i="10" s="1"/>
  <c r="I246" i="10" s="1"/>
  <c r="U246" i="10"/>
  <c r="V246" i="10" s="1"/>
  <c r="K244" i="10"/>
  <c r="L244" i="10" s="1"/>
  <c r="M244" i="10" s="1"/>
  <c r="N244" i="10"/>
  <c r="O244" i="10" s="1"/>
  <c r="P244" i="10" s="1"/>
  <c r="Q243" i="10"/>
  <c r="S243" i="10" s="1"/>
  <c r="R243" i="10"/>
  <c r="T243" i="10" s="1"/>
  <c r="W243" i="10" l="1"/>
  <c r="Q244" i="10"/>
  <c r="S244" i="10" s="1"/>
  <c r="W244" i="10" s="1"/>
  <c r="R244" i="10"/>
  <c r="T244" i="10" s="1"/>
  <c r="F248" i="10"/>
  <c r="U247" i="10"/>
  <c r="V247" i="10" s="1"/>
  <c r="G247" i="10"/>
  <c r="H247" i="10" s="1"/>
  <c r="I247" i="10" s="1"/>
  <c r="J246" i="10"/>
  <c r="N245" i="10"/>
  <c r="O245" i="10" s="1"/>
  <c r="P245" i="10" s="1"/>
  <c r="K245" i="10"/>
  <c r="L245" i="10" s="1"/>
  <c r="M245" i="10" s="1"/>
  <c r="J247" i="10" l="1"/>
  <c r="F249" i="10"/>
  <c r="U248" i="10"/>
  <c r="V248" i="10" s="1"/>
  <c r="G248" i="10"/>
  <c r="H248" i="10" s="1"/>
  <c r="I248" i="10" s="1"/>
  <c r="Q245" i="10"/>
  <c r="S245" i="10" s="1"/>
  <c r="W245" i="10" s="1"/>
  <c r="R245" i="10"/>
  <c r="T245" i="10" s="1"/>
  <c r="K246" i="10"/>
  <c r="L246" i="10" s="1"/>
  <c r="M246" i="10" s="1"/>
  <c r="N246" i="10"/>
  <c r="O246" i="10" s="1"/>
  <c r="P246" i="10" s="1"/>
  <c r="J248" i="10" l="1"/>
  <c r="U249" i="10"/>
  <c r="V249" i="10" s="1"/>
  <c r="G249" i="10"/>
  <c r="H249" i="10" s="1"/>
  <c r="I249" i="10" s="1"/>
  <c r="F250" i="10"/>
  <c r="K247" i="10"/>
  <c r="L247" i="10" s="1"/>
  <c r="M247" i="10" s="1"/>
  <c r="N247" i="10"/>
  <c r="O247" i="10" s="1"/>
  <c r="P247" i="10" s="1"/>
  <c r="R246" i="10"/>
  <c r="T246" i="10" s="1"/>
  <c r="Q246" i="10"/>
  <c r="S246" i="10" s="1"/>
  <c r="W246" i="10" s="1"/>
  <c r="R247" i="10" l="1"/>
  <c r="T247" i="10" s="1"/>
  <c r="Q247" i="10"/>
  <c r="S247" i="10" s="1"/>
  <c r="W247" i="10" s="1"/>
  <c r="F251" i="10"/>
  <c r="U250" i="10"/>
  <c r="V250" i="10" s="1"/>
  <c r="G250" i="10"/>
  <c r="H250" i="10" s="1"/>
  <c r="I250" i="10" s="1"/>
  <c r="J249" i="10"/>
  <c r="K248" i="10"/>
  <c r="L248" i="10" s="1"/>
  <c r="M248" i="10" s="1"/>
  <c r="N248" i="10"/>
  <c r="O248" i="10" s="1"/>
  <c r="P248" i="10" s="1"/>
  <c r="N249" i="10" l="1"/>
  <c r="O249" i="10" s="1"/>
  <c r="P249" i="10" s="1"/>
  <c r="K249" i="10"/>
  <c r="L249" i="10" s="1"/>
  <c r="M249" i="10" s="1"/>
  <c r="J250" i="10"/>
  <c r="U251" i="10"/>
  <c r="V251" i="10" s="1"/>
  <c r="F252" i="10"/>
  <c r="G251" i="10"/>
  <c r="H251" i="10" s="1"/>
  <c r="I251" i="10" s="1"/>
  <c r="R248" i="10"/>
  <c r="T248" i="10" s="1"/>
  <c r="Q248" i="10"/>
  <c r="S248" i="10" s="1"/>
  <c r="W248" i="10" s="1"/>
  <c r="J251" i="10" l="1"/>
  <c r="F253" i="10"/>
  <c r="G252" i="10"/>
  <c r="H252" i="10" s="1"/>
  <c r="I252" i="10" s="1"/>
  <c r="U252" i="10"/>
  <c r="V252" i="10" s="1"/>
  <c r="N250" i="10"/>
  <c r="O250" i="10" s="1"/>
  <c r="P250" i="10" s="1"/>
  <c r="K250" i="10"/>
  <c r="L250" i="10" s="1"/>
  <c r="M250" i="10" s="1"/>
  <c r="Q249" i="10"/>
  <c r="S249" i="10" s="1"/>
  <c r="W249" i="10" s="1"/>
  <c r="R249" i="10"/>
  <c r="T249" i="10" s="1"/>
  <c r="G253" i="10" l="1"/>
  <c r="H253" i="10" s="1"/>
  <c r="I253" i="10" s="1"/>
  <c r="F254" i="10"/>
  <c r="U253" i="10"/>
  <c r="V253" i="10" s="1"/>
  <c r="J252" i="10"/>
  <c r="Q250" i="10"/>
  <c r="S250" i="10" s="1"/>
  <c r="W250" i="10" s="1"/>
  <c r="R250" i="10"/>
  <c r="T250" i="10" s="1"/>
  <c r="K251" i="10"/>
  <c r="L251" i="10" s="1"/>
  <c r="M251" i="10" s="1"/>
  <c r="N251" i="10"/>
  <c r="O251" i="10" s="1"/>
  <c r="P251" i="10" s="1"/>
  <c r="K252" i="10" l="1"/>
  <c r="L252" i="10" s="1"/>
  <c r="M252" i="10" s="1"/>
  <c r="N252" i="10"/>
  <c r="O252" i="10" s="1"/>
  <c r="P252" i="10" s="1"/>
  <c r="F255" i="10"/>
  <c r="U254" i="10"/>
  <c r="V254" i="10" s="1"/>
  <c r="G254" i="10"/>
  <c r="H254" i="10" s="1"/>
  <c r="I254" i="10" s="1"/>
  <c r="Q251" i="10"/>
  <c r="S251" i="10" s="1"/>
  <c r="W251" i="10" s="1"/>
  <c r="R251" i="10"/>
  <c r="T251" i="10" s="1"/>
  <c r="J253" i="10"/>
  <c r="N253" i="10" l="1"/>
  <c r="O253" i="10" s="1"/>
  <c r="P253" i="10" s="1"/>
  <c r="K253" i="10"/>
  <c r="L253" i="10" s="1"/>
  <c r="M253" i="10" s="1"/>
  <c r="R252" i="10"/>
  <c r="T252" i="10" s="1"/>
  <c r="Q252" i="10"/>
  <c r="S252" i="10" s="1"/>
  <c r="W252" i="10" s="1"/>
  <c r="J254" i="10"/>
  <c r="U255" i="10"/>
  <c r="V255" i="10" s="1"/>
  <c r="F256" i="10"/>
  <c r="G255" i="10"/>
  <c r="H255" i="10" s="1"/>
  <c r="I255" i="10" s="1"/>
  <c r="G256" i="10" l="1"/>
  <c r="H256" i="10" s="1"/>
  <c r="I256" i="10" s="1"/>
  <c r="U256" i="10"/>
  <c r="V256" i="10" s="1"/>
  <c r="F257" i="10"/>
  <c r="N254" i="10"/>
  <c r="O254" i="10" s="1"/>
  <c r="P254" i="10" s="1"/>
  <c r="K254" i="10"/>
  <c r="L254" i="10" s="1"/>
  <c r="M254" i="10" s="1"/>
  <c r="J255" i="10"/>
  <c r="R253" i="10"/>
  <c r="T253" i="10" s="1"/>
  <c r="Q253" i="10"/>
  <c r="S253" i="10" s="1"/>
  <c r="W253" i="10" s="1"/>
  <c r="R254" i="10" l="1"/>
  <c r="T254" i="10" s="1"/>
  <c r="Q254" i="10"/>
  <c r="S254" i="10" s="1"/>
  <c r="W254" i="10" s="1"/>
  <c r="U257" i="10"/>
  <c r="V257" i="10" s="1"/>
  <c r="G257" i="10"/>
  <c r="H257" i="10" s="1"/>
  <c r="I257" i="10" s="1"/>
  <c r="F258" i="10"/>
  <c r="N255" i="10"/>
  <c r="O255" i="10" s="1"/>
  <c r="P255" i="10" s="1"/>
  <c r="K255" i="10"/>
  <c r="L255" i="10" s="1"/>
  <c r="M255" i="10" s="1"/>
  <c r="J256" i="10"/>
  <c r="R255" i="10" l="1"/>
  <c r="T255" i="10" s="1"/>
  <c r="Q255" i="10"/>
  <c r="S255" i="10" s="1"/>
  <c r="W255" i="10" s="1"/>
  <c r="U258" i="10"/>
  <c r="V258" i="10" s="1"/>
  <c r="G258" i="10"/>
  <c r="H258" i="10" s="1"/>
  <c r="I258" i="10" s="1"/>
  <c r="F259" i="10"/>
  <c r="N256" i="10"/>
  <c r="O256" i="10" s="1"/>
  <c r="P256" i="10" s="1"/>
  <c r="K256" i="10"/>
  <c r="L256" i="10" s="1"/>
  <c r="M256" i="10" s="1"/>
  <c r="J257" i="10"/>
  <c r="R256" i="10" l="1"/>
  <c r="T256" i="10" s="1"/>
  <c r="Q256" i="10"/>
  <c r="S256" i="10" s="1"/>
  <c r="W256" i="10" s="1"/>
  <c r="F260" i="10"/>
  <c r="U259" i="10"/>
  <c r="V259" i="10" s="1"/>
  <c r="G259" i="10"/>
  <c r="H259" i="10" s="1"/>
  <c r="I259" i="10" s="1"/>
  <c r="K257" i="10"/>
  <c r="L257" i="10" s="1"/>
  <c r="M257" i="10" s="1"/>
  <c r="N257" i="10"/>
  <c r="O257" i="10" s="1"/>
  <c r="P257" i="10" s="1"/>
  <c r="J258" i="10"/>
  <c r="K258" i="10" l="1"/>
  <c r="L258" i="10" s="1"/>
  <c r="M258" i="10" s="1"/>
  <c r="N258" i="10"/>
  <c r="O258" i="10" s="1"/>
  <c r="P258" i="10" s="1"/>
  <c r="J259" i="10"/>
  <c r="F261" i="10"/>
  <c r="U260" i="10"/>
  <c r="V260" i="10" s="1"/>
  <c r="G260" i="10"/>
  <c r="H260" i="10" s="1"/>
  <c r="I260" i="10" s="1"/>
  <c r="Q257" i="10"/>
  <c r="S257" i="10" s="1"/>
  <c r="W257" i="10" s="1"/>
  <c r="R257" i="10"/>
  <c r="T257" i="10" s="1"/>
  <c r="U261" i="10" l="1"/>
  <c r="V261" i="10" s="1"/>
  <c r="G261" i="10"/>
  <c r="H261" i="10" s="1"/>
  <c r="I261" i="10" s="1"/>
  <c r="F262" i="10"/>
  <c r="J260" i="10"/>
  <c r="K259" i="10"/>
  <c r="L259" i="10" s="1"/>
  <c r="M259" i="10" s="1"/>
  <c r="N259" i="10"/>
  <c r="O259" i="10" s="1"/>
  <c r="P259" i="10" s="1"/>
  <c r="R258" i="10"/>
  <c r="T258" i="10" s="1"/>
  <c r="Q258" i="10"/>
  <c r="S258" i="10" s="1"/>
  <c r="W258" i="10" s="1"/>
  <c r="K260" i="10" l="1"/>
  <c r="L260" i="10" s="1"/>
  <c r="M260" i="10" s="1"/>
  <c r="N260" i="10"/>
  <c r="O260" i="10" s="1"/>
  <c r="P260" i="10" s="1"/>
  <c r="Q259" i="10"/>
  <c r="S259" i="10" s="1"/>
  <c r="W259" i="10" s="1"/>
  <c r="R259" i="10"/>
  <c r="T259" i="10" s="1"/>
  <c r="U262" i="10"/>
  <c r="V262" i="10" s="1"/>
  <c r="G262" i="10"/>
  <c r="H262" i="10" s="1"/>
  <c r="I262" i="10" s="1"/>
  <c r="F263" i="10"/>
  <c r="J261" i="10"/>
  <c r="U263" i="10" l="1"/>
  <c r="V263" i="10" s="1"/>
  <c r="F264" i="10"/>
  <c r="G263" i="10"/>
  <c r="H263" i="10" s="1"/>
  <c r="I263" i="10" s="1"/>
  <c r="J262" i="10"/>
  <c r="R260" i="10"/>
  <c r="T260" i="10" s="1"/>
  <c r="Q260" i="10"/>
  <c r="S260" i="10" s="1"/>
  <c r="W260" i="10" s="1"/>
  <c r="K261" i="10"/>
  <c r="L261" i="10" s="1"/>
  <c r="M261" i="10" s="1"/>
  <c r="N261" i="10"/>
  <c r="O261" i="10" s="1"/>
  <c r="P261" i="10" s="1"/>
  <c r="N262" i="10" l="1"/>
  <c r="O262" i="10" s="1"/>
  <c r="P262" i="10" s="1"/>
  <c r="K262" i="10"/>
  <c r="L262" i="10" s="1"/>
  <c r="M262" i="10" s="1"/>
  <c r="J263" i="10"/>
  <c r="U264" i="10"/>
  <c r="V264" i="10" s="1"/>
  <c r="F265" i="10"/>
  <c r="G264" i="10"/>
  <c r="H264" i="10" s="1"/>
  <c r="I264" i="10" s="1"/>
  <c r="Q261" i="10"/>
  <c r="S261" i="10" s="1"/>
  <c r="W261" i="10" s="1"/>
  <c r="R261" i="10"/>
  <c r="T261" i="10" s="1"/>
  <c r="J264" i="10" l="1"/>
  <c r="F266" i="10"/>
  <c r="U265" i="10"/>
  <c r="V265" i="10" s="1"/>
  <c r="G265" i="10"/>
  <c r="H265" i="10" s="1"/>
  <c r="I265" i="10" s="1"/>
  <c r="N263" i="10"/>
  <c r="O263" i="10" s="1"/>
  <c r="P263" i="10" s="1"/>
  <c r="K263" i="10"/>
  <c r="L263" i="10" s="1"/>
  <c r="M263" i="10" s="1"/>
  <c r="R262" i="10"/>
  <c r="T262" i="10" s="1"/>
  <c r="Q262" i="10"/>
  <c r="S262" i="10" s="1"/>
  <c r="W262" i="10" l="1"/>
  <c r="R263" i="10"/>
  <c r="T263" i="10" s="1"/>
  <c r="Q263" i="10"/>
  <c r="S263" i="10" s="1"/>
  <c r="W263" i="10" s="1"/>
  <c r="J265" i="10"/>
  <c r="F267" i="10"/>
  <c r="U266" i="10"/>
  <c r="V266" i="10" s="1"/>
  <c r="G266" i="10"/>
  <c r="H266" i="10" s="1"/>
  <c r="I266" i="10" s="1"/>
  <c r="K264" i="10"/>
  <c r="L264" i="10" s="1"/>
  <c r="M264" i="10" s="1"/>
  <c r="N264" i="10"/>
  <c r="O264" i="10" s="1"/>
  <c r="P264" i="10" s="1"/>
  <c r="J266" i="10" l="1"/>
  <c r="F268" i="10"/>
  <c r="G267" i="10"/>
  <c r="H267" i="10" s="1"/>
  <c r="I267" i="10" s="1"/>
  <c r="U267" i="10"/>
  <c r="V267" i="10" s="1"/>
  <c r="K265" i="10"/>
  <c r="L265" i="10" s="1"/>
  <c r="M265" i="10" s="1"/>
  <c r="N265" i="10"/>
  <c r="O265" i="10" s="1"/>
  <c r="P265" i="10" s="1"/>
  <c r="R264" i="10"/>
  <c r="T264" i="10" s="1"/>
  <c r="Q264" i="10"/>
  <c r="S264" i="10" s="1"/>
  <c r="W264" i="10" s="1"/>
  <c r="Q265" i="10" l="1"/>
  <c r="S265" i="10" s="1"/>
  <c r="W265" i="10" s="1"/>
  <c r="R265" i="10"/>
  <c r="T265" i="10" s="1"/>
  <c r="J267" i="10"/>
  <c r="F269" i="10"/>
  <c r="G268" i="10"/>
  <c r="H268" i="10" s="1"/>
  <c r="I268" i="10" s="1"/>
  <c r="U268" i="10"/>
  <c r="V268" i="10" s="1"/>
  <c r="N266" i="10"/>
  <c r="O266" i="10" s="1"/>
  <c r="P266" i="10" s="1"/>
  <c r="K266" i="10"/>
  <c r="L266" i="10" s="1"/>
  <c r="M266" i="10" s="1"/>
  <c r="Q266" i="10" l="1"/>
  <c r="S266" i="10" s="1"/>
  <c r="W266" i="10" s="1"/>
  <c r="R266" i="10"/>
  <c r="T266" i="10" s="1"/>
  <c r="U269" i="10"/>
  <c r="V269" i="10" s="1"/>
  <c r="G269" i="10"/>
  <c r="H269" i="10" s="1"/>
  <c r="I269" i="10" s="1"/>
  <c r="F270" i="10"/>
  <c r="J268" i="10"/>
  <c r="K267" i="10"/>
  <c r="L267" i="10" s="1"/>
  <c r="M267" i="10" s="1"/>
  <c r="N267" i="10"/>
  <c r="O267" i="10" s="1"/>
  <c r="P267" i="10" s="1"/>
  <c r="R267" i="10" l="1"/>
  <c r="T267" i="10" s="1"/>
  <c r="Q267" i="10"/>
  <c r="S267" i="10" s="1"/>
  <c r="W267" i="10" s="1"/>
  <c r="J269" i="10"/>
  <c r="K268" i="10"/>
  <c r="L268" i="10" s="1"/>
  <c r="M268" i="10" s="1"/>
  <c r="N268" i="10"/>
  <c r="O268" i="10" s="1"/>
  <c r="P268" i="10" s="1"/>
  <c r="U270" i="10"/>
  <c r="V270" i="10" s="1"/>
  <c r="F271" i="10"/>
  <c r="G270" i="10"/>
  <c r="H270" i="10" s="1"/>
  <c r="I270" i="10" s="1"/>
  <c r="G271" i="10" l="1"/>
  <c r="H271" i="10" s="1"/>
  <c r="I271" i="10" s="1"/>
  <c r="F272" i="10"/>
  <c r="U271" i="10"/>
  <c r="V271" i="10" s="1"/>
  <c r="R268" i="10"/>
  <c r="T268" i="10" s="1"/>
  <c r="Q268" i="10"/>
  <c r="S268" i="10" s="1"/>
  <c r="W268" i="10" s="1"/>
  <c r="N269" i="10"/>
  <c r="O269" i="10" s="1"/>
  <c r="P269" i="10" s="1"/>
  <c r="K269" i="10"/>
  <c r="L269" i="10" s="1"/>
  <c r="M269" i="10" s="1"/>
  <c r="J270" i="10"/>
  <c r="Q269" i="10" l="1"/>
  <c r="S269" i="10" s="1"/>
  <c r="W269" i="10" s="1"/>
  <c r="R269" i="10"/>
  <c r="T269" i="10" s="1"/>
  <c r="F273" i="10"/>
  <c r="U272" i="10"/>
  <c r="V272" i="10" s="1"/>
  <c r="G272" i="10"/>
  <c r="H272" i="10" s="1"/>
  <c r="I272" i="10" s="1"/>
  <c r="K270" i="10"/>
  <c r="L270" i="10" s="1"/>
  <c r="M270" i="10" s="1"/>
  <c r="N270" i="10"/>
  <c r="O270" i="10" s="1"/>
  <c r="P270" i="10" s="1"/>
  <c r="J271" i="10"/>
  <c r="R270" i="10" l="1"/>
  <c r="T270" i="10" s="1"/>
  <c r="Q270" i="10"/>
  <c r="S270" i="10" s="1"/>
  <c r="W270" i="10" s="1"/>
  <c r="J272" i="10"/>
  <c r="F274" i="10"/>
  <c r="G273" i="10"/>
  <c r="H273" i="10" s="1"/>
  <c r="I273" i="10" s="1"/>
  <c r="U273" i="10"/>
  <c r="V273" i="10" s="1"/>
  <c r="K271" i="10"/>
  <c r="L271" i="10" s="1"/>
  <c r="M271" i="10" s="1"/>
  <c r="N271" i="10"/>
  <c r="O271" i="10" s="1"/>
  <c r="P271" i="10" s="1"/>
  <c r="J273" i="10" l="1"/>
  <c r="U274" i="10"/>
  <c r="V274" i="10" s="1"/>
  <c r="F275" i="10"/>
  <c r="G274" i="10"/>
  <c r="H274" i="10" s="1"/>
  <c r="I274" i="10" s="1"/>
  <c r="N272" i="10"/>
  <c r="O272" i="10" s="1"/>
  <c r="P272" i="10" s="1"/>
  <c r="K272" i="10"/>
  <c r="L272" i="10" s="1"/>
  <c r="M272" i="10" s="1"/>
  <c r="R271" i="10"/>
  <c r="T271" i="10" s="1"/>
  <c r="Q271" i="10"/>
  <c r="S271" i="10" s="1"/>
  <c r="W271" i="10" s="1"/>
  <c r="Q272" i="10" l="1"/>
  <c r="S272" i="10" s="1"/>
  <c r="W272" i="10" s="1"/>
  <c r="R272" i="10"/>
  <c r="T272" i="10" s="1"/>
  <c r="J274" i="10"/>
  <c r="U275" i="10"/>
  <c r="V275" i="10" s="1"/>
  <c r="F276" i="10"/>
  <c r="G275" i="10"/>
  <c r="H275" i="10" s="1"/>
  <c r="I275" i="10" s="1"/>
  <c r="K273" i="10"/>
  <c r="L273" i="10" s="1"/>
  <c r="M273" i="10" s="1"/>
  <c r="N273" i="10"/>
  <c r="O273" i="10" s="1"/>
  <c r="P273" i="10" s="1"/>
  <c r="F277" i="10" l="1"/>
  <c r="G276" i="10"/>
  <c r="H276" i="10" s="1"/>
  <c r="I276" i="10" s="1"/>
  <c r="U276" i="10"/>
  <c r="V276" i="10" s="1"/>
  <c r="J275" i="10"/>
  <c r="N274" i="10"/>
  <c r="O274" i="10" s="1"/>
  <c r="P274" i="10" s="1"/>
  <c r="K274" i="10"/>
  <c r="L274" i="10" s="1"/>
  <c r="M274" i="10" s="1"/>
  <c r="Q273" i="10"/>
  <c r="S273" i="10" s="1"/>
  <c r="R273" i="10"/>
  <c r="T273" i="10" s="1"/>
  <c r="W273" i="10" l="1"/>
  <c r="N275" i="10"/>
  <c r="O275" i="10" s="1"/>
  <c r="P275" i="10" s="1"/>
  <c r="K275" i="10"/>
  <c r="L275" i="10" s="1"/>
  <c r="M275" i="10" s="1"/>
  <c r="Q274" i="10"/>
  <c r="S274" i="10" s="1"/>
  <c r="W274" i="10" s="1"/>
  <c r="R274" i="10"/>
  <c r="T274" i="10" s="1"/>
  <c r="J276" i="10"/>
  <c r="U277" i="10"/>
  <c r="V277" i="10" s="1"/>
  <c r="G277" i="10"/>
  <c r="H277" i="10" s="1"/>
  <c r="I277" i="10" s="1"/>
  <c r="F278" i="10"/>
  <c r="N276" i="10" l="1"/>
  <c r="O276" i="10" s="1"/>
  <c r="P276" i="10" s="1"/>
  <c r="K276" i="10"/>
  <c r="L276" i="10" s="1"/>
  <c r="M276" i="10" s="1"/>
  <c r="J277" i="10"/>
  <c r="U278" i="10"/>
  <c r="V278" i="10" s="1"/>
  <c r="F279" i="10"/>
  <c r="G278" i="10"/>
  <c r="H278" i="10" s="1"/>
  <c r="I278" i="10" s="1"/>
  <c r="Q275" i="10"/>
  <c r="S275" i="10" s="1"/>
  <c r="W275" i="10" s="1"/>
  <c r="R275" i="10"/>
  <c r="T275" i="10" s="1"/>
  <c r="F280" i="10" l="1"/>
  <c r="U279" i="10"/>
  <c r="V279" i="10" s="1"/>
  <c r="G279" i="10"/>
  <c r="H279" i="10" s="1"/>
  <c r="I279" i="10" s="1"/>
  <c r="J278" i="10"/>
  <c r="K277" i="10"/>
  <c r="L277" i="10" s="1"/>
  <c r="M277" i="10" s="1"/>
  <c r="N277" i="10"/>
  <c r="O277" i="10" s="1"/>
  <c r="P277" i="10" s="1"/>
  <c r="Q276" i="10"/>
  <c r="S276" i="10" s="1"/>
  <c r="W276" i="10" s="1"/>
  <c r="R276" i="10"/>
  <c r="T276" i="10" s="1"/>
  <c r="Q277" i="10" l="1"/>
  <c r="S277" i="10" s="1"/>
  <c r="W277" i="10" s="1"/>
  <c r="R277" i="10"/>
  <c r="T277" i="10" s="1"/>
  <c r="N278" i="10"/>
  <c r="O278" i="10" s="1"/>
  <c r="P278" i="10" s="1"/>
  <c r="K278" i="10"/>
  <c r="L278" i="10" s="1"/>
  <c r="M278" i="10" s="1"/>
  <c r="J279" i="10"/>
  <c r="F281" i="10"/>
  <c r="U280" i="10"/>
  <c r="V280" i="10" s="1"/>
  <c r="G280" i="10"/>
  <c r="H280" i="10" s="1"/>
  <c r="I280" i="10" s="1"/>
  <c r="K279" i="10" l="1"/>
  <c r="L279" i="10" s="1"/>
  <c r="M279" i="10" s="1"/>
  <c r="N279" i="10"/>
  <c r="O279" i="10" s="1"/>
  <c r="P279" i="10" s="1"/>
  <c r="F282" i="10"/>
  <c r="G281" i="10"/>
  <c r="H281" i="10" s="1"/>
  <c r="I281" i="10" s="1"/>
  <c r="U281" i="10"/>
  <c r="V281" i="10" s="1"/>
  <c r="J280" i="10"/>
  <c r="R278" i="10"/>
  <c r="T278" i="10" s="1"/>
  <c r="Q278" i="10"/>
  <c r="S278" i="10" s="1"/>
  <c r="W278" i="10" s="1"/>
  <c r="N280" i="10" l="1"/>
  <c r="O280" i="10" s="1"/>
  <c r="P280" i="10" s="1"/>
  <c r="K280" i="10"/>
  <c r="L280" i="10" s="1"/>
  <c r="M280" i="10" s="1"/>
  <c r="J281" i="10"/>
  <c r="U282" i="10"/>
  <c r="V282" i="10" s="1"/>
  <c r="G282" i="10"/>
  <c r="H282" i="10" s="1"/>
  <c r="I282" i="10" s="1"/>
  <c r="F283" i="10"/>
  <c r="R279" i="10"/>
  <c r="T279" i="10" s="1"/>
  <c r="Q279" i="10"/>
  <c r="S279" i="10" s="1"/>
  <c r="W279" i="10" s="1"/>
  <c r="F284" i="10" l="1"/>
  <c r="U283" i="10"/>
  <c r="V283" i="10" s="1"/>
  <c r="G283" i="10"/>
  <c r="H283" i="10" s="1"/>
  <c r="I283" i="10" s="1"/>
  <c r="J282" i="10"/>
  <c r="N281" i="10"/>
  <c r="O281" i="10" s="1"/>
  <c r="P281" i="10" s="1"/>
  <c r="K281" i="10"/>
  <c r="L281" i="10" s="1"/>
  <c r="M281" i="10" s="1"/>
  <c r="R280" i="10"/>
  <c r="T280" i="10" s="1"/>
  <c r="Q280" i="10"/>
  <c r="S280" i="10" s="1"/>
  <c r="W280" i="10" l="1"/>
  <c r="N282" i="10"/>
  <c r="O282" i="10" s="1"/>
  <c r="P282" i="10" s="1"/>
  <c r="K282" i="10"/>
  <c r="L282" i="10" s="1"/>
  <c r="M282" i="10" s="1"/>
  <c r="J283" i="10"/>
  <c r="R281" i="10"/>
  <c r="T281" i="10" s="1"/>
  <c r="Q281" i="10"/>
  <c r="S281" i="10" s="1"/>
  <c r="W281" i="10" s="1"/>
  <c r="G284" i="10"/>
  <c r="H284" i="10" s="1"/>
  <c r="I284" i="10" s="1"/>
  <c r="F285" i="10"/>
  <c r="U284" i="10"/>
  <c r="V284" i="10" s="1"/>
  <c r="J284" i="10" l="1"/>
  <c r="K283" i="10"/>
  <c r="L283" i="10" s="1"/>
  <c r="M283" i="10" s="1"/>
  <c r="N283" i="10"/>
  <c r="O283" i="10" s="1"/>
  <c r="P283" i="10" s="1"/>
  <c r="G285" i="10"/>
  <c r="H285" i="10" s="1"/>
  <c r="I285" i="10" s="1"/>
  <c r="F286" i="10"/>
  <c r="U285" i="10"/>
  <c r="V285" i="10" s="1"/>
  <c r="R282" i="10"/>
  <c r="T282" i="10" s="1"/>
  <c r="Q282" i="10"/>
  <c r="S282" i="10" s="1"/>
  <c r="W282" i="10" l="1"/>
  <c r="U286" i="10"/>
  <c r="V286" i="10" s="1"/>
  <c r="G286" i="10"/>
  <c r="H286" i="10" s="1"/>
  <c r="I286" i="10" s="1"/>
  <c r="F287" i="10"/>
  <c r="Q283" i="10"/>
  <c r="S283" i="10" s="1"/>
  <c r="W283" i="10" s="1"/>
  <c r="R283" i="10"/>
  <c r="T283" i="10" s="1"/>
  <c r="J285" i="10"/>
  <c r="N284" i="10"/>
  <c r="O284" i="10" s="1"/>
  <c r="P284" i="10" s="1"/>
  <c r="K284" i="10"/>
  <c r="L284" i="10" s="1"/>
  <c r="M284" i="10" s="1"/>
  <c r="N285" i="10" l="1"/>
  <c r="O285" i="10" s="1"/>
  <c r="P285" i="10" s="1"/>
  <c r="K285" i="10"/>
  <c r="L285" i="10" s="1"/>
  <c r="M285" i="10" s="1"/>
  <c r="U287" i="10"/>
  <c r="V287" i="10" s="1"/>
  <c r="F288" i="10"/>
  <c r="G287" i="10"/>
  <c r="H287" i="10" s="1"/>
  <c r="I287" i="10" s="1"/>
  <c r="R284" i="10"/>
  <c r="T284" i="10" s="1"/>
  <c r="Q284" i="10"/>
  <c r="S284" i="10" s="1"/>
  <c r="W284" i="10" s="1"/>
  <c r="J286" i="10"/>
  <c r="K286" i="10" l="1"/>
  <c r="L286" i="10" s="1"/>
  <c r="M286" i="10" s="1"/>
  <c r="N286" i="10"/>
  <c r="O286" i="10" s="1"/>
  <c r="P286" i="10" s="1"/>
  <c r="J287" i="10"/>
  <c r="F289" i="10"/>
  <c r="G288" i="10"/>
  <c r="H288" i="10" s="1"/>
  <c r="I288" i="10" s="1"/>
  <c r="U288" i="10"/>
  <c r="V288" i="10" s="1"/>
  <c r="Q285" i="10"/>
  <c r="S285" i="10" s="1"/>
  <c r="W285" i="10" s="1"/>
  <c r="R285" i="10"/>
  <c r="T285" i="10" s="1"/>
  <c r="U289" i="10" l="1"/>
  <c r="V289" i="10" s="1"/>
  <c r="F290" i="10"/>
  <c r="G289" i="10"/>
  <c r="H289" i="10" s="1"/>
  <c r="I289" i="10" s="1"/>
  <c r="N287" i="10"/>
  <c r="O287" i="10" s="1"/>
  <c r="P287" i="10" s="1"/>
  <c r="K287" i="10"/>
  <c r="L287" i="10" s="1"/>
  <c r="M287" i="10" s="1"/>
  <c r="J288" i="10"/>
  <c r="R286" i="10"/>
  <c r="T286" i="10" s="1"/>
  <c r="Q286" i="10"/>
  <c r="S286" i="10" s="1"/>
  <c r="W286" i="10" s="1"/>
  <c r="J289" i="10" l="1"/>
  <c r="N288" i="10"/>
  <c r="O288" i="10" s="1"/>
  <c r="P288" i="10" s="1"/>
  <c r="K288" i="10"/>
  <c r="L288" i="10" s="1"/>
  <c r="M288" i="10" s="1"/>
  <c r="R287" i="10"/>
  <c r="T287" i="10" s="1"/>
  <c r="Q287" i="10"/>
  <c r="S287" i="10" s="1"/>
  <c r="W287" i="10" s="1"/>
  <c r="U290" i="10"/>
  <c r="V290" i="10" s="1"/>
  <c r="G290" i="10"/>
  <c r="H290" i="10" s="1"/>
  <c r="I290" i="10" s="1"/>
  <c r="F291" i="10"/>
  <c r="N289" i="10" l="1"/>
  <c r="O289" i="10" s="1"/>
  <c r="P289" i="10" s="1"/>
  <c r="K289" i="10"/>
  <c r="L289" i="10" s="1"/>
  <c r="M289" i="10" s="1"/>
  <c r="J290" i="10"/>
  <c r="R288" i="10"/>
  <c r="T288" i="10" s="1"/>
  <c r="Q288" i="10"/>
  <c r="S288" i="10" s="1"/>
  <c r="W288" i="10" s="1"/>
  <c r="F292" i="10"/>
  <c r="U291" i="10"/>
  <c r="V291" i="10" s="1"/>
  <c r="G291" i="10"/>
  <c r="H291" i="10" s="1"/>
  <c r="I291" i="10" s="1"/>
  <c r="U292" i="10" l="1"/>
  <c r="V292" i="10" s="1"/>
  <c r="G292" i="10"/>
  <c r="H292" i="10" s="1"/>
  <c r="I292" i="10" s="1"/>
  <c r="F293" i="10"/>
  <c r="K290" i="10"/>
  <c r="L290" i="10" s="1"/>
  <c r="M290" i="10" s="1"/>
  <c r="N290" i="10"/>
  <c r="O290" i="10" s="1"/>
  <c r="P290" i="10" s="1"/>
  <c r="J291" i="10"/>
  <c r="Q289" i="10"/>
  <c r="S289" i="10" s="1"/>
  <c r="W289" i="10" s="1"/>
  <c r="R289" i="10"/>
  <c r="T289" i="10" s="1"/>
  <c r="R290" i="10" l="1"/>
  <c r="T290" i="10" s="1"/>
  <c r="Q290" i="10"/>
  <c r="S290" i="10" s="1"/>
  <c r="W290" i="10" s="1"/>
  <c r="F294" i="10"/>
  <c r="U293" i="10"/>
  <c r="V293" i="10" s="1"/>
  <c r="G293" i="10"/>
  <c r="H293" i="10" s="1"/>
  <c r="I293" i="10" s="1"/>
  <c r="N291" i="10"/>
  <c r="O291" i="10" s="1"/>
  <c r="P291" i="10" s="1"/>
  <c r="K291" i="10"/>
  <c r="L291" i="10" s="1"/>
  <c r="M291" i="10" s="1"/>
  <c r="J292" i="10"/>
  <c r="K292" i="10" l="1"/>
  <c r="L292" i="10" s="1"/>
  <c r="M292" i="10" s="1"/>
  <c r="N292" i="10"/>
  <c r="O292" i="10" s="1"/>
  <c r="P292" i="10" s="1"/>
  <c r="Q291" i="10"/>
  <c r="S291" i="10" s="1"/>
  <c r="W291" i="10" s="1"/>
  <c r="R291" i="10"/>
  <c r="T291" i="10" s="1"/>
  <c r="U294" i="10"/>
  <c r="V294" i="10" s="1"/>
  <c r="F295" i="10"/>
  <c r="G294" i="10"/>
  <c r="H294" i="10" s="1"/>
  <c r="I294" i="10" s="1"/>
  <c r="J293" i="10"/>
  <c r="N293" i="10" l="1"/>
  <c r="O293" i="10" s="1"/>
  <c r="P293" i="10" s="1"/>
  <c r="K293" i="10"/>
  <c r="L293" i="10" s="1"/>
  <c r="M293" i="10" s="1"/>
  <c r="F296" i="10"/>
  <c r="U295" i="10"/>
  <c r="V295" i="10" s="1"/>
  <c r="G295" i="10"/>
  <c r="H295" i="10" s="1"/>
  <c r="I295" i="10" s="1"/>
  <c r="J294" i="10"/>
  <c r="R292" i="10"/>
  <c r="T292" i="10" s="1"/>
  <c r="Q292" i="10"/>
  <c r="S292" i="10" s="1"/>
  <c r="W292" i="10" s="1"/>
  <c r="N294" i="10" l="1"/>
  <c r="O294" i="10" s="1"/>
  <c r="P294" i="10" s="1"/>
  <c r="K294" i="10"/>
  <c r="L294" i="10" s="1"/>
  <c r="M294" i="10" s="1"/>
  <c r="J295" i="10"/>
  <c r="U296" i="10"/>
  <c r="V296" i="10" s="1"/>
  <c r="F297" i="10"/>
  <c r="G296" i="10"/>
  <c r="H296" i="10" s="1"/>
  <c r="I296" i="10" s="1"/>
  <c r="Q293" i="10"/>
  <c r="S293" i="10" s="1"/>
  <c r="W293" i="10" s="1"/>
  <c r="R293" i="10"/>
  <c r="T293" i="10" s="1"/>
  <c r="J296" i="10" l="1"/>
  <c r="F298" i="10"/>
  <c r="U297" i="10"/>
  <c r="V297" i="10" s="1"/>
  <c r="G297" i="10"/>
  <c r="H297" i="10" s="1"/>
  <c r="I297" i="10" s="1"/>
  <c r="K295" i="10"/>
  <c r="L295" i="10" s="1"/>
  <c r="M295" i="10" s="1"/>
  <c r="N295" i="10"/>
  <c r="O295" i="10" s="1"/>
  <c r="P295" i="10" s="1"/>
  <c r="R294" i="10"/>
  <c r="T294" i="10" s="1"/>
  <c r="Q294" i="10"/>
  <c r="S294" i="10" s="1"/>
  <c r="W294" i="10" s="1"/>
  <c r="R295" i="10" l="1"/>
  <c r="T295" i="10" s="1"/>
  <c r="Q295" i="10"/>
  <c r="S295" i="10" s="1"/>
  <c r="W295" i="10" s="1"/>
  <c r="J297" i="10"/>
  <c r="F299" i="10"/>
  <c r="U298" i="10"/>
  <c r="V298" i="10" s="1"/>
  <c r="G298" i="10"/>
  <c r="H298" i="10" s="1"/>
  <c r="I298" i="10" s="1"/>
  <c r="K296" i="10"/>
  <c r="L296" i="10" s="1"/>
  <c r="M296" i="10" s="1"/>
  <c r="N296" i="10"/>
  <c r="O296" i="10" s="1"/>
  <c r="P296" i="10" s="1"/>
  <c r="J298" i="10" l="1"/>
  <c r="F300" i="10"/>
  <c r="U299" i="10"/>
  <c r="V299" i="10" s="1"/>
  <c r="G299" i="10"/>
  <c r="H299" i="10" s="1"/>
  <c r="I299" i="10" s="1"/>
  <c r="K297" i="10"/>
  <c r="L297" i="10" s="1"/>
  <c r="M297" i="10" s="1"/>
  <c r="N297" i="10"/>
  <c r="O297" i="10" s="1"/>
  <c r="P297" i="10" s="1"/>
  <c r="R296" i="10"/>
  <c r="T296" i="10" s="1"/>
  <c r="Q296" i="10"/>
  <c r="S296" i="10" s="1"/>
  <c r="R297" i="10" l="1"/>
  <c r="T297" i="10" s="1"/>
  <c r="Q297" i="10"/>
  <c r="S297" i="10" s="1"/>
  <c r="W297" i="10" s="1"/>
  <c r="J299" i="10"/>
  <c r="F301" i="10"/>
  <c r="G300" i="10"/>
  <c r="H300" i="10" s="1"/>
  <c r="I300" i="10" s="1"/>
  <c r="U300" i="10"/>
  <c r="V300" i="10" s="1"/>
  <c r="W296" i="10"/>
  <c r="K298" i="10"/>
  <c r="L298" i="10" s="1"/>
  <c r="M298" i="10" s="1"/>
  <c r="N298" i="10"/>
  <c r="O298" i="10" s="1"/>
  <c r="P298" i="10" s="1"/>
  <c r="J300" i="10" l="1"/>
  <c r="F302" i="10"/>
  <c r="U301" i="10"/>
  <c r="V301" i="10" s="1"/>
  <c r="G301" i="10"/>
  <c r="H301" i="10" s="1"/>
  <c r="I301" i="10" s="1"/>
  <c r="K299" i="10"/>
  <c r="L299" i="10" s="1"/>
  <c r="M299" i="10" s="1"/>
  <c r="N299" i="10"/>
  <c r="O299" i="10" s="1"/>
  <c r="P299" i="10" s="1"/>
  <c r="R298" i="10"/>
  <c r="T298" i="10" s="1"/>
  <c r="Q298" i="10"/>
  <c r="S298" i="10" s="1"/>
  <c r="W298" i="10" s="1"/>
  <c r="Q299" i="10" l="1"/>
  <c r="S299" i="10" s="1"/>
  <c r="W299" i="10" s="1"/>
  <c r="R299" i="10"/>
  <c r="T299" i="10" s="1"/>
  <c r="J301" i="10"/>
  <c r="U302" i="10"/>
  <c r="V302" i="10" s="1"/>
  <c r="F303" i="10"/>
  <c r="G302" i="10"/>
  <c r="H302" i="10" s="1"/>
  <c r="I302" i="10" s="1"/>
  <c r="K300" i="10"/>
  <c r="L300" i="10" s="1"/>
  <c r="M300" i="10" s="1"/>
  <c r="N300" i="10"/>
  <c r="O300" i="10" s="1"/>
  <c r="P300" i="10" s="1"/>
  <c r="Q300" i="10" l="1"/>
  <c r="S300" i="10" s="1"/>
  <c r="W300" i="10" s="1"/>
  <c r="R300" i="10"/>
  <c r="T300" i="10" s="1"/>
  <c r="J302" i="10"/>
  <c r="N301" i="10"/>
  <c r="O301" i="10" s="1"/>
  <c r="P301" i="10" s="1"/>
  <c r="K301" i="10"/>
  <c r="L301" i="10" s="1"/>
  <c r="M301" i="10" s="1"/>
  <c r="U303" i="10"/>
  <c r="V303" i="10" s="1"/>
  <c r="F304" i="10"/>
  <c r="G303" i="10"/>
  <c r="H303" i="10" s="1"/>
  <c r="I303" i="10" s="1"/>
  <c r="J303" i="10" l="1"/>
  <c r="Q301" i="10"/>
  <c r="S301" i="10" s="1"/>
  <c r="W301" i="10" s="1"/>
  <c r="R301" i="10"/>
  <c r="T301" i="10" s="1"/>
  <c r="N302" i="10"/>
  <c r="O302" i="10" s="1"/>
  <c r="P302" i="10" s="1"/>
  <c r="K302" i="10"/>
  <c r="L302" i="10" s="1"/>
  <c r="M302" i="10" s="1"/>
  <c r="G304" i="10"/>
  <c r="H304" i="10" s="1"/>
  <c r="I304" i="10" s="1"/>
  <c r="F305" i="10"/>
  <c r="U304" i="10"/>
  <c r="V304" i="10" s="1"/>
  <c r="R302" i="10" l="1"/>
  <c r="T302" i="10" s="1"/>
  <c r="Q302" i="10"/>
  <c r="S302" i="10" s="1"/>
  <c r="W302" i="10" s="1"/>
  <c r="F306" i="10"/>
  <c r="G305" i="10"/>
  <c r="H305" i="10" s="1"/>
  <c r="I305" i="10" s="1"/>
  <c r="U305" i="10"/>
  <c r="V305" i="10" s="1"/>
  <c r="J304" i="10"/>
  <c r="N303" i="10"/>
  <c r="O303" i="10" s="1"/>
  <c r="P303" i="10" s="1"/>
  <c r="K303" i="10"/>
  <c r="L303" i="10" s="1"/>
  <c r="M303" i="10" s="1"/>
  <c r="Q303" i="10" l="1"/>
  <c r="S303" i="10" s="1"/>
  <c r="W303" i="10" s="1"/>
  <c r="R303" i="10"/>
  <c r="T303" i="10" s="1"/>
  <c r="J305" i="10"/>
  <c r="U306" i="10"/>
  <c r="V306" i="10" s="1"/>
  <c r="F307" i="10"/>
  <c r="G306" i="10"/>
  <c r="H306" i="10" s="1"/>
  <c r="I306" i="10" s="1"/>
  <c r="N304" i="10"/>
  <c r="O304" i="10" s="1"/>
  <c r="P304" i="10" s="1"/>
  <c r="K304" i="10"/>
  <c r="L304" i="10" s="1"/>
  <c r="M304" i="10" s="1"/>
  <c r="R304" i="10" l="1"/>
  <c r="T304" i="10" s="1"/>
  <c r="Q304" i="10"/>
  <c r="S304" i="10" s="1"/>
  <c r="W304" i="10" s="1"/>
  <c r="F308" i="10"/>
  <c r="U307" i="10"/>
  <c r="V307" i="10" s="1"/>
  <c r="G307" i="10"/>
  <c r="H307" i="10" s="1"/>
  <c r="I307" i="10" s="1"/>
  <c r="K305" i="10"/>
  <c r="L305" i="10" s="1"/>
  <c r="M305" i="10" s="1"/>
  <c r="N305" i="10"/>
  <c r="O305" i="10" s="1"/>
  <c r="P305" i="10" s="1"/>
  <c r="J306" i="10"/>
  <c r="Q305" i="10" l="1"/>
  <c r="S305" i="10" s="1"/>
  <c r="W305" i="10" s="1"/>
  <c r="R305" i="10"/>
  <c r="T305" i="10" s="1"/>
  <c r="J307" i="10"/>
  <c r="U308" i="10"/>
  <c r="V308" i="10" s="1"/>
  <c r="F309" i="10"/>
  <c r="G308" i="10"/>
  <c r="H308" i="10" s="1"/>
  <c r="I308" i="10" s="1"/>
  <c r="N306" i="10"/>
  <c r="O306" i="10" s="1"/>
  <c r="P306" i="10" s="1"/>
  <c r="K306" i="10"/>
  <c r="L306" i="10" s="1"/>
  <c r="M306" i="10" s="1"/>
  <c r="R306" i="10" l="1"/>
  <c r="T306" i="10" s="1"/>
  <c r="Q306" i="10"/>
  <c r="S306" i="10" s="1"/>
  <c r="W306" i="10" s="1"/>
  <c r="G309" i="10"/>
  <c r="H309" i="10" s="1"/>
  <c r="I309" i="10" s="1"/>
  <c r="F310" i="10"/>
  <c r="U309" i="10"/>
  <c r="V309" i="10" s="1"/>
  <c r="K307" i="10"/>
  <c r="L307" i="10" s="1"/>
  <c r="M307" i="10" s="1"/>
  <c r="N307" i="10"/>
  <c r="O307" i="10" s="1"/>
  <c r="P307" i="10" s="1"/>
  <c r="J308" i="10"/>
  <c r="N308" i="10" l="1"/>
  <c r="O308" i="10" s="1"/>
  <c r="P308" i="10" s="1"/>
  <c r="K308" i="10"/>
  <c r="L308" i="10" s="1"/>
  <c r="M308" i="10" s="1"/>
  <c r="Q307" i="10"/>
  <c r="S307" i="10" s="1"/>
  <c r="W307" i="10" s="1"/>
  <c r="R307" i="10"/>
  <c r="T307" i="10" s="1"/>
  <c r="J309" i="10"/>
  <c r="U310" i="10"/>
  <c r="V310" i="10" s="1"/>
  <c r="G310" i="10"/>
  <c r="H310" i="10" s="1"/>
  <c r="I310" i="10" s="1"/>
  <c r="F311" i="10"/>
  <c r="J310" i="10" l="1"/>
  <c r="K309" i="10"/>
  <c r="L309" i="10" s="1"/>
  <c r="M309" i="10" s="1"/>
  <c r="N309" i="10"/>
  <c r="O309" i="10" s="1"/>
  <c r="P309" i="10" s="1"/>
  <c r="U311" i="10"/>
  <c r="V311" i="10" s="1"/>
  <c r="F312" i="10"/>
  <c r="G311" i="10"/>
  <c r="H311" i="10" s="1"/>
  <c r="I311" i="10" s="1"/>
  <c r="Q308" i="10"/>
  <c r="S308" i="10" s="1"/>
  <c r="R308" i="10"/>
  <c r="T308" i="10" s="1"/>
  <c r="W308" i="10" l="1"/>
  <c r="J311" i="10"/>
  <c r="R309" i="10"/>
  <c r="T309" i="10" s="1"/>
  <c r="Q309" i="10"/>
  <c r="S309" i="10" s="1"/>
  <c r="W309" i="10" s="1"/>
  <c r="F313" i="10"/>
  <c r="G312" i="10"/>
  <c r="H312" i="10" s="1"/>
  <c r="I312" i="10" s="1"/>
  <c r="U312" i="10"/>
  <c r="V312" i="10" s="1"/>
  <c r="N310" i="10"/>
  <c r="O310" i="10" s="1"/>
  <c r="P310" i="10" s="1"/>
  <c r="K310" i="10"/>
  <c r="L310" i="10" s="1"/>
  <c r="M310" i="10" s="1"/>
  <c r="Q310" i="10" l="1"/>
  <c r="S310" i="10" s="1"/>
  <c r="R310" i="10"/>
  <c r="T310" i="10" s="1"/>
  <c r="J312" i="10"/>
  <c r="F314" i="10"/>
  <c r="G313" i="10"/>
  <c r="H313" i="10" s="1"/>
  <c r="I313" i="10" s="1"/>
  <c r="U313" i="10"/>
  <c r="V313" i="10" s="1"/>
  <c r="K311" i="10"/>
  <c r="L311" i="10" s="1"/>
  <c r="M311" i="10" s="1"/>
  <c r="N311" i="10"/>
  <c r="O311" i="10" s="1"/>
  <c r="P311" i="10" s="1"/>
  <c r="W310" i="10" l="1"/>
  <c r="Q311" i="10"/>
  <c r="S311" i="10" s="1"/>
  <c r="W311" i="10" s="1"/>
  <c r="R311" i="10"/>
  <c r="T311" i="10" s="1"/>
  <c r="F315" i="10"/>
  <c r="U314" i="10"/>
  <c r="V314" i="10" s="1"/>
  <c r="G314" i="10"/>
  <c r="H314" i="10" s="1"/>
  <c r="I314" i="10" s="1"/>
  <c r="N312" i="10"/>
  <c r="O312" i="10" s="1"/>
  <c r="P312" i="10" s="1"/>
  <c r="K312" i="10"/>
  <c r="L312" i="10" s="1"/>
  <c r="M312" i="10" s="1"/>
  <c r="J313" i="10"/>
  <c r="R312" i="10" l="1"/>
  <c r="T312" i="10" s="1"/>
  <c r="Q312" i="10"/>
  <c r="S312" i="10" s="1"/>
  <c r="W312" i="10" s="1"/>
  <c r="F316" i="10"/>
  <c r="U315" i="10"/>
  <c r="V315" i="10" s="1"/>
  <c r="G315" i="10"/>
  <c r="H315" i="10" s="1"/>
  <c r="I315" i="10" s="1"/>
  <c r="N313" i="10"/>
  <c r="O313" i="10" s="1"/>
  <c r="P313" i="10" s="1"/>
  <c r="K313" i="10"/>
  <c r="L313" i="10" s="1"/>
  <c r="M313" i="10" s="1"/>
  <c r="J314" i="10"/>
  <c r="Q313" i="10" l="1"/>
  <c r="S313" i="10" s="1"/>
  <c r="W313" i="10" s="1"/>
  <c r="R313" i="10"/>
  <c r="T313" i="10" s="1"/>
  <c r="F317" i="10"/>
  <c r="G316" i="10"/>
  <c r="H316" i="10" s="1"/>
  <c r="I316" i="10" s="1"/>
  <c r="U316" i="10"/>
  <c r="V316" i="10" s="1"/>
  <c r="J315" i="10"/>
  <c r="K314" i="10"/>
  <c r="L314" i="10" s="1"/>
  <c r="M314" i="10" s="1"/>
  <c r="N314" i="10"/>
  <c r="O314" i="10" s="1"/>
  <c r="P314" i="10" s="1"/>
  <c r="R314" i="10" l="1"/>
  <c r="T314" i="10" s="1"/>
  <c r="Q314" i="10"/>
  <c r="S314" i="10" s="1"/>
  <c r="W314" i="10" s="1"/>
  <c r="J316" i="10"/>
  <c r="F318" i="10"/>
  <c r="G317" i="10"/>
  <c r="H317" i="10" s="1"/>
  <c r="I317" i="10" s="1"/>
  <c r="U317" i="10"/>
  <c r="V317" i="10" s="1"/>
  <c r="K315" i="10"/>
  <c r="L315" i="10" s="1"/>
  <c r="M315" i="10" s="1"/>
  <c r="N315" i="10"/>
  <c r="O315" i="10" s="1"/>
  <c r="P315" i="10" s="1"/>
  <c r="J317" i="10" l="1"/>
  <c r="F319" i="10"/>
  <c r="G318" i="10"/>
  <c r="H318" i="10" s="1"/>
  <c r="I318" i="10" s="1"/>
  <c r="U318" i="10"/>
  <c r="V318" i="10" s="1"/>
  <c r="N316" i="10"/>
  <c r="O316" i="10" s="1"/>
  <c r="P316" i="10" s="1"/>
  <c r="K316" i="10"/>
  <c r="L316" i="10" s="1"/>
  <c r="M316" i="10" s="1"/>
  <c r="Q315" i="10"/>
  <c r="S315" i="10" s="1"/>
  <c r="W315" i="10" s="1"/>
  <c r="R315" i="10"/>
  <c r="T315" i="10" s="1"/>
  <c r="J318" i="10" l="1"/>
  <c r="F320" i="10"/>
  <c r="G319" i="10"/>
  <c r="H319" i="10" s="1"/>
  <c r="I319" i="10" s="1"/>
  <c r="U319" i="10"/>
  <c r="V319" i="10" s="1"/>
  <c r="R316" i="10"/>
  <c r="T316" i="10" s="1"/>
  <c r="Q316" i="10"/>
  <c r="S316" i="10" s="1"/>
  <c r="W316" i="10" s="1"/>
  <c r="N317" i="10"/>
  <c r="O317" i="10" s="1"/>
  <c r="P317" i="10" s="1"/>
  <c r="K317" i="10"/>
  <c r="L317" i="10" s="1"/>
  <c r="M317" i="10" s="1"/>
  <c r="G320" i="10" l="1"/>
  <c r="H320" i="10" s="1"/>
  <c r="I320" i="10" s="1"/>
  <c r="F321" i="10"/>
  <c r="U320" i="10"/>
  <c r="V320" i="10" s="1"/>
  <c r="Q317" i="10"/>
  <c r="S317" i="10" s="1"/>
  <c r="W317" i="10" s="1"/>
  <c r="R317" i="10"/>
  <c r="T317" i="10" s="1"/>
  <c r="J319" i="10"/>
  <c r="K318" i="10"/>
  <c r="L318" i="10" s="1"/>
  <c r="M318" i="10" s="1"/>
  <c r="N318" i="10"/>
  <c r="O318" i="10" s="1"/>
  <c r="P318" i="10" s="1"/>
  <c r="K319" i="10" l="1"/>
  <c r="L319" i="10" s="1"/>
  <c r="M319" i="10" s="1"/>
  <c r="N319" i="10"/>
  <c r="O319" i="10" s="1"/>
  <c r="P319" i="10" s="1"/>
  <c r="U321" i="10"/>
  <c r="V321" i="10" s="1"/>
  <c r="F322" i="10"/>
  <c r="G321" i="10"/>
  <c r="H321" i="10" s="1"/>
  <c r="I321" i="10" s="1"/>
  <c r="R318" i="10"/>
  <c r="T318" i="10" s="1"/>
  <c r="Q318" i="10"/>
  <c r="S318" i="10" s="1"/>
  <c r="W318" i="10" s="1"/>
  <c r="J320" i="10"/>
  <c r="K320" i="10" l="1"/>
  <c r="L320" i="10" s="1"/>
  <c r="M320" i="10" s="1"/>
  <c r="N320" i="10"/>
  <c r="O320" i="10" s="1"/>
  <c r="P320" i="10" s="1"/>
  <c r="Q319" i="10"/>
  <c r="S319" i="10" s="1"/>
  <c r="W319" i="10" s="1"/>
  <c r="R319" i="10"/>
  <c r="T319" i="10" s="1"/>
  <c r="J321" i="10"/>
  <c r="U322" i="10"/>
  <c r="V322" i="10" s="1"/>
  <c r="F323" i="10"/>
  <c r="G322" i="10"/>
  <c r="H322" i="10" s="1"/>
  <c r="I322" i="10" s="1"/>
  <c r="F324" i="10" l="1"/>
  <c r="U323" i="10"/>
  <c r="V323" i="10" s="1"/>
  <c r="G323" i="10"/>
  <c r="H323" i="10" s="1"/>
  <c r="I323" i="10" s="1"/>
  <c r="Q320" i="10"/>
  <c r="S320" i="10" s="1"/>
  <c r="W320" i="10" s="1"/>
  <c r="R320" i="10"/>
  <c r="T320" i="10" s="1"/>
  <c r="N321" i="10"/>
  <c r="O321" i="10" s="1"/>
  <c r="P321" i="10" s="1"/>
  <c r="K321" i="10"/>
  <c r="L321" i="10" s="1"/>
  <c r="M321" i="10" s="1"/>
  <c r="J322" i="10"/>
  <c r="R321" i="10" l="1"/>
  <c r="T321" i="10" s="1"/>
  <c r="Q321" i="10"/>
  <c r="S321" i="10" s="1"/>
  <c r="W321" i="10" s="1"/>
  <c r="J323" i="10"/>
  <c r="K322" i="10"/>
  <c r="L322" i="10" s="1"/>
  <c r="M322" i="10" s="1"/>
  <c r="N322" i="10"/>
  <c r="O322" i="10" s="1"/>
  <c r="P322" i="10" s="1"/>
  <c r="F325" i="10"/>
  <c r="G324" i="10"/>
  <c r="H324" i="10" s="1"/>
  <c r="I324" i="10" s="1"/>
  <c r="U324" i="10"/>
  <c r="V324" i="10" s="1"/>
  <c r="F326" i="10" l="1"/>
  <c r="G325" i="10"/>
  <c r="H325" i="10" s="1"/>
  <c r="I325" i="10" s="1"/>
  <c r="U325" i="10"/>
  <c r="V325" i="10" s="1"/>
  <c r="R322" i="10"/>
  <c r="T322" i="10" s="1"/>
  <c r="Q322" i="10"/>
  <c r="S322" i="10" s="1"/>
  <c r="W322" i="10" s="1"/>
  <c r="J324" i="10"/>
  <c r="K323" i="10"/>
  <c r="L323" i="10" s="1"/>
  <c r="M323" i="10" s="1"/>
  <c r="N323" i="10"/>
  <c r="O323" i="10" s="1"/>
  <c r="P323" i="10" s="1"/>
  <c r="K324" i="10" l="1"/>
  <c r="L324" i="10" s="1"/>
  <c r="M324" i="10" s="1"/>
  <c r="N324" i="10"/>
  <c r="O324" i="10" s="1"/>
  <c r="P324" i="10" s="1"/>
  <c r="J325" i="10"/>
  <c r="R323" i="10"/>
  <c r="T323" i="10" s="1"/>
  <c r="Q323" i="10"/>
  <c r="S323" i="10" s="1"/>
  <c r="W323" i="10" s="1"/>
  <c r="F327" i="10"/>
  <c r="U326" i="10"/>
  <c r="V326" i="10" s="1"/>
  <c r="G326" i="10"/>
  <c r="H326" i="10" s="1"/>
  <c r="I326" i="10" s="1"/>
  <c r="U327" i="10" l="1"/>
  <c r="V327" i="10" s="1"/>
  <c r="F328" i="10"/>
  <c r="G327" i="10"/>
  <c r="H327" i="10" s="1"/>
  <c r="I327" i="10" s="1"/>
  <c r="K325" i="10"/>
  <c r="L325" i="10" s="1"/>
  <c r="M325" i="10" s="1"/>
  <c r="N325" i="10"/>
  <c r="O325" i="10" s="1"/>
  <c r="P325" i="10" s="1"/>
  <c r="Q324" i="10"/>
  <c r="S324" i="10" s="1"/>
  <c r="W324" i="10" s="1"/>
  <c r="R324" i="10"/>
  <c r="T324" i="10" s="1"/>
  <c r="J326" i="10"/>
  <c r="R325" i="10" l="1"/>
  <c r="T325" i="10" s="1"/>
  <c r="Q325" i="10"/>
  <c r="S325" i="10" s="1"/>
  <c r="W325" i="10" s="1"/>
  <c r="J327" i="10"/>
  <c r="F329" i="10"/>
  <c r="G328" i="10"/>
  <c r="H328" i="10" s="1"/>
  <c r="I328" i="10" s="1"/>
  <c r="U328" i="10"/>
  <c r="V328" i="10" s="1"/>
  <c r="N326" i="10"/>
  <c r="O326" i="10" s="1"/>
  <c r="P326" i="10" s="1"/>
  <c r="K326" i="10"/>
  <c r="L326" i="10" s="1"/>
  <c r="M326" i="10" s="1"/>
  <c r="J328" i="10" l="1"/>
  <c r="G329" i="10"/>
  <c r="H329" i="10" s="1"/>
  <c r="I329" i="10" s="1"/>
  <c r="U329" i="10"/>
  <c r="V329" i="10" s="1"/>
  <c r="F330" i="10"/>
  <c r="K327" i="10"/>
  <c r="L327" i="10" s="1"/>
  <c r="M327" i="10" s="1"/>
  <c r="N327" i="10"/>
  <c r="O327" i="10" s="1"/>
  <c r="P327" i="10" s="1"/>
  <c r="R326" i="10"/>
  <c r="T326" i="10" s="1"/>
  <c r="Q326" i="10"/>
  <c r="S326" i="10" s="1"/>
  <c r="W326" i="10" s="1"/>
  <c r="Q327" i="10" l="1"/>
  <c r="S327" i="10" s="1"/>
  <c r="W327" i="10" s="1"/>
  <c r="R327" i="10"/>
  <c r="T327" i="10" s="1"/>
  <c r="U330" i="10"/>
  <c r="V330" i="10" s="1"/>
  <c r="F331" i="10"/>
  <c r="G330" i="10"/>
  <c r="H330" i="10" s="1"/>
  <c r="I330" i="10" s="1"/>
  <c r="J329" i="10"/>
  <c r="K328" i="10"/>
  <c r="L328" i="10" s="1"/>
  <c r="M328" i="10" s="1"/>
  <c r="N328" i="10"/>
  <c r="O328" i="10" s="1"/>
  <c r="P328" i="10" s="1"/>
  <c r="N329" i="10" l="1"/>
  <c r="O329" i="10" s="1"/>
  <c r="P329" i="10" s="1"/>
  <c r="K329" i="10"/>
  <c r="L329" i="10" s="1"/>
  <c r="M329" i="10" s="1"/>
  <c r="Q328" i="10"/>
  <c r="S328" i="10" s="1"/>
  <c r="W328" i="10" s="1"/>
  <c r="R328" i="10"/>
  <c r="T328" i="10" s="1"/>
  <c r="J330" i="10"/>
  <c r="U331" i="10"/>
  <c r="V331" i="10" s="1"/>
  <c r="F332" i="10"/>
  <c r="G331" i="10"/>
  <c r="H331" i="10" s="1"/>
  <c r="I331" i="10" s="1"/>
  <c r="U332" i="10" l="1"/>
  <c r="V332" i="10" s="1"/>
  <c r="F333" i="10"/>
  <c r="G332" i="10"/>
  <c r="H332" i="10" s="1"/>
  <c r="I332" i="10" s="1"/>
  <c r="K330" i="10"/>
  <c r="L330" i="10" s="1"/>
  <c r="M330" i="10" s="1"/>
  <c r="N330" i="10"/>
  <c r="O330" i="10" s="1"/>
  <c r="P330" i="10" s="1"/>
  <c r="J331" i="10"/>
  <c r="Q329" i="10"/>
  <c r="S329" i="10" s="1"/>
  <c r="R329" i="10"/>
  <c r="T329" i="10" s="1"/>
  <c r="W329" i="10" l="1"/>
  <c r="N331" i="10"/>
  <c r="O331" i="10" s="1"/>
  <c r="P331" i="10" s="1"/>
  <c r="K331" i="10"/>
  <c r="L331" i="10" s="1"/>
  <c r="M331" i="10" s="1"/>
  <c r="R330" i="10"/>
  <c r="T330" i="10" s="1"/>
  <c r="Q330" i="10"/>
  <c r="S330" i="10" s="1"/>
  <c r="W330" i="10" s="1"/>
  <c r="J332" i="10"/>
  <c r="F334" i="10"/>
  <c r="G333" i="10"/>
  <c r="H333" i="10" s="1"/>
  <c r="I333" i="10" s="1"/>
  <c r="U333" i="10"/>
  <c r="V333" i="10" s="1"/>
  <c r="N332" i="10" l="1"/>
  <c r="O332" i="10" s="1"/>
  <c r="P332" i="10" s="1"/>
  <c r="K332" i="10"/>
  <c r="L332" i="10" s="1"/>
  <c r="M332" i="10" s="1"/>
  <c r="J333" i="10"/>
  <c r="U334" i="10"/>
  <c r="V334" i="10" s="1"/>
  <c r="G334" i="10"/>
  <c r="H334" i="10" s="1"/>
  <c r="I334" i="10" s="1"/>
  <c r="F335" i="10"/>
  <c r="Q331" i="10"/>
  <c r="S331" i="10" s="1"/>
  <c r="R331" i="10"/>
  <c r="T331" i="10" s="1"/>
  <c r="W331" i="10" l="1"/>
  <c r="F336" i="10"/>
  <c r="U335" i="10"/>
  <c r="V335" i="10" s="1"/>
  <c r="G335" i="10"/>
  <c r="H335" i="10" s="1"/>
  <c r="I335" i="10" s="1"/>
  <c r="J334" i="10"/>
  <c r="K333" i="10"/>
  <c r="L333" i="10" s="1"/>
  <c r="M333" i="10" s="1"/>
  <c r="N333" i="10"/>
  <c r="O333" i="10" s="1"/>
  <c r="P333" i="10" s="1"/>
  <c r="R332" i="10"/>
  <c r="T332" i="10" s="1"/>
  <c r="Q332" i="10"/>
  <c r="S332" i="10" s="1"/>
  <c r="R333" i="10" l="1"/>
  <c r="T333" i="10" s="1"/>
  <c r="Q333" i="10"/>
  <c r="S333" i="10" s="1"/>
  <c r="W333" i="10" s="1"/>
  <c r="N334" i="10"/>
  <c r="O334" i="10" s="1"/>
  <c r="P334" i="10" s="1"/>
  <c r="K334" i="10"/>
  <c r="L334" i="10" s="1"/>
  <c r="M334" i="10" s="1"/>
  <c r="J335" i="10"/>
  <c r="W332" i="10"/>
  <c r="G336" i="10"/>
  <c r="H336" i="10" s="1"/>
  <c r="I336" i="10" s="1"/>
  <c r="F337" i="10"/>
  <c r="U336" i="10"/>
  <c r="V336" i="10" s="1"/>
  <c r="J336" i="10" l="1"/>
  <c r="N335" i="10"/>
  <c r="O335" i="10" s="1"/>
  <c r="P335" i="10" s="1"/>
  <c r="K335" i="10"/>
  <c r="L335" i="10" s="1"/>
  <c r="M335" i="10" s="1"/>
  <c r="R334" i="10"/>
  <c r="T334" i="10" s="1"/>
  <c r="Q334" i="10"/>
  <c r="S334" i="10" s="1"/>
  <c r="W334" i="10" s="1"/>
  <c r="U337" i="10"/>
  <c r="V337" i="10" s="1"/>
  <c r="G337" i="10"/>
  <c r="H337" i="10" s="1"/>
  <c r="I337" i="10" s="1"/>
  <c r="F338" i="10"/>
  <c r="J337" i="10" l="1"/>
  <c r="Q335" i="10"/>
  <c r="S335" i="10" s="1"/>
  <c r="W335" i="10" s="1"/>
  <c r="R335" i="10"/>
  <c r="T335" i="10" s="1"/>
  <c r="U338" i="10"/>
  <c r="V338" i="10" s="1"/>
  <c r="F339" i="10"/>
  <c r="G338" i="10"/>
  <c r="H338" i="10" s="1"/>
  <c r="I338" i="10" s="1"/>
  <c r="N336" i="10"/>
  <c r="O336" i="10" s="1"/>
  <c r="P336" i="10" s="1"/>
  <c r="K336" i="10"/>
  <c r="L336" i="10" s="1"/>
  <c r="M336" i="10" s="1"/>
  <c r="R336" i="10" l="1"/>
  <c r="T336" i="10" s="1"/>
  <c r="Q336" i="10"/>
  <c r="S336" i="10" s="1"/>
  <c r="W336" i="10" s="1"/>
  <c r="U339" i="10"/>
  <c r="V339" i="10" s="1"/>
  <c r="G339" i="10"/>
  <c r="H339" i="10" s="1"/>
  <c r="I339" i="10" s="1"/>
  <c r="F340" i="10"/>
  <c r="J338" i="10"/>
  <c r="K337" i="10"/>
  <c r="L337" i="10" s="1"/>
  <c r="M337" i="10" s="1"/>
  <c r="N337" i="10"/>
  <c r="O337" i="10" s="1"/>
  <c r="P337" i="10" s="1"/>
  <c r="U340" i="10" l="1"/>
  <c r="V340" i="10" s="1"/>
  <c r="F341" i="10"/>
  <c r="G340" i="10"/>
  <c r="H340" i="10" s="1"/>
  <c r="I340" i="10" s="1"/>
  <c r="J339" i="10"/>
  <c r="N338" i="10"/>
  <c r="O338" i="10" s="1"/>
  <c r="P338" i="10" s="1"/>
  <c r="K338" i="10"/>
  <c r="L338" i="10" s="1"/>
  <c r="M338" i="10" s="1"/>
  <c r="R337" i="10"/>
  <c r="T337" i="10" s="1"/>
  <c r="Q337" i="10"/>
  <c r="S337" i="10" s="1"/>
  <c r="W337" i="10" s="1"/>
  <c r="N339" i="10" l="1"/>
  <c r="O339" i="10" s="1"/>
  <c r="P339" i="10" s="1"/>
  <c r="K339" i="10"/>
  <c r="L339" i="10" s="1"/>
  <c r="M339" i="10" s="1"/>
  <c r="Q338" i="10"/>
  <c r="S338" i="10" s="1"/>
  <c r="W338" i="10" s="1"/>
  <c r="R338" i="10"/>
  <c r="T338" i="10" s="1"/>
  <c r="J340" i="10"/>
  <c r="U341" i="10"/>
  <c r="V341" i="10" s="1"/>
  <c r="F342" i="10"/>
  <c r="G341" i="10"/>
  <c r="H341" i="10" s="1"/>
  <c r="I341" i="10" s="1"/>
  <c r="U342" i="10" l="1"/>
  <c r="V342" i="10" s="1"/>
  <c r="F343" i="10"/>
  <c r="G342" i="10"/>
  <c r="H342" i="10" s="1"/>
  <c r="I342" i="10" s="1"/>
  <c r="K340" i="10"/>
  <c r="L340" i="10" s="1"/>
  <c r="M340" i="10" s="1"/>
  <c r="N340" i="10"/>
  <c r="O340" i="10" s="1"/>
  <c r="P340" i="10" s="1"/>
  <c r="J341" i="10"/>
  <c r="Q339" i="10"/>
  <c r="S339" i="10" s="1"/>
  <c r="W339" i="10" s="1"/>
  <c r="R339" i="10"/>
  <c r="T339" i="10" s="1"/>
  <c r="K341" i="10" l="1"/>
  <c r="L341" i="10" s="1"/>
  <c r="M341" i="10" s="1"/>
  <c r="N341" i="10"/>
  <c r="O341" i="10" s="1"/>
  <c r="P341" i="10" s="1"/>
  <c r="Q340" i="10"/>
  <c r="S340" i="10" s="1"/>
  <c r="W340" i="10" s="1"/>
  <c r="R340" i="10"/>
  <c r="T340" i="10" s="1"/>
  <c r="J342" i="10"/>
  <c r="F344" i="10"/>
  <c r="U343" i="10"/>
  <c r="V343" i="10" s="1"/>
  <c r="G343" i="10"/>
  <c r="H343" i="10" s="1"/>
  <c r="I343" i="10" s="1"/>
  <c r="Q341" i="10" l="1"/>
  <c r="S341" i="10" s="1"/>
  <c r="W341" i="10" s="1"/>
  <c r="R341" i="10"/>
  <c r="T341" i="10" s="1"/>
  <c r="U344" i="10"/>
  <c r="V344" i="10" s="1"/>
  <c r="F345" i="10"/>
  <c r="G344" i="10"/>
  <c r="H344" i="10" s="1"/>
  <c r="I344" i="10" s="1"/>
  <c r="N342" i="10"/>
  <c r="O342" i="10" s="1"/>
  <c r="P342" i="10" s="1"/>
  <c r="K342" i="10"/>
  <c r="L342" i="10" s="1"/>
  <c r="M342" i="10" s="1"/>
  <c r="J343" i="10"/>
  <c r="Q342" i="10" l="1"/>
  <c r="S342" i="10" s="1"/>
  <c r="W342" i="10" s="1"/>
  <c r="R342" i="10"/>
  <c r="T342" i="10" s="1"/>
  <c r="N343" i="10"/>
  <c r="O343" i="10" s="1"/>
  <c r="P343" i="10" s="1"/>
  <c r="K343" i="10"/>
  <c r="L343" i="10" s="1"/>
  <c r="M343" i="10" s="1"/>
  <c r="J344" i="10"/>
  <c r="F346" i="10"/>
  <c r="U345" i="10"/>
  <c r="V345" i="10" s="1"/>
  <c r="G345" i="10"/>
  <c r="H345" i="10" s="1"/>
  <c r="I345" i="10" s="1"/>
  <c r="K344" i="10" l="1"/>
  <c r="L344" i="10" s="1"/>
  <c r="M344" i="10" s="1"/>
  <c r="N344" i="10"/>
  <c r="O344" i="10" s="1"/>
  <c r="P344" i="10" s="1"/>
  <c r="Q343" i="10"/>
  <c r="S343" i="10" s="1"/>
  <c r="R343" i="10"/>
  <c r="T343" i="10" s="1"/>
  <c r="J345" i="10"/>
  <c r="F347" i="10"/>
  <c r="U346" i="10"/>
  <c r="V346" i="10" s="1"/>
  <c r="G346" i="10"/>
  <c r="H346" i="10" s="1"/>
  <c r="I346" i="10" s="1"/>
  <c r="W343" i="10" l="1"/>
  <c r="F348" i="10"/>
  <c r="G347" i="10"/>
  <c r="H347" i="10" s="1"/>
  <c r="I347" i="10" s="1"/>
  <c r="U347" i="10"/>
  <c r="V347" i="10" s="1"/>
  <c r="Q344" i="10"/>
  <c r="S344" i="10" s="1"/>
  <c r="W344" i="10" s="1"/>
  <c r="R344" i="10"/>
  <c r="T344" i="10" s="1"/>
  <c r="N345" i="10"/>
  <c r="O345" i="10" s="1"/>
  <c r="P345" i="10" s="1"/>
  <c r="K345" i="10"/>
  <c r="L345" i="10" s="1"/>
  <c r="M345" i="10" s="1"/>
  <c r="J346" i="10"/>
  <c r="Q345" i="10" l="1"/>
  <c r="S345" i="10" s="1"/>
  <c r="W345" i="10" s="1"/>
  <c r="R345" i="10"/>
  <c r="T345" i="10" s="1"/>
  <c r="J347" i="10"/>
  <c r="K346" i="10"/>
  <c r="L346" i="10" s="1"/>
  <c r="M346" i="10" s="1"/>
  <c r="N346" i="10"/>
  <c r="O346" i="10" s="1"/>
  <c r="P346" i="10" s="1"/>
  <c r="F349" i="10"/>
  <c r="U348" i="10"/>
  <c r="V348" i="10" s="1"/>
  <c r="G348" i="10"/>
  <c r="H348" i="10" s="1"/>
  <c r="I348" i="10" s="1"/>
  <c r="J348" i="10" l="1"/>
  <c r="G349" i="10"/>
  <c r="H349" i="10" s="1"/>
  <c r="I349" i="10" s="1"/>
  <c r="F350" i="10"/>
  <c r="U349" i="10"/>
  <c r="V349" i="10" s="1"/>
  <c r="Q346" i="10"/>
  <c r="S346" i="10" s="1"/>
  <c r="R346" i="10"/>
  <c r="T346" i="10" s="1"/>
  <c r="N347" i="10"/>
  <c r="O347" i="10" s="1"/>
  <c r="P347" i="10" s="1"/>
  <c r="K347" i="10"/>
  <c r="L347" i="10" s="1"/>
  <c r="M347" i="10" s="1"/>
  <c r="W346" i="10" l="1"/>
  <c r="Q347" i="10"/>
  <c r="S347" i="10" s="1"/>
  <c r="W347" i="10" s="1"/>
  <c r="R347" i="10"/>
  <c r="T347" i="10" s="1"/>
  <c r="U350" i="10"/>
  <c r="V350" i="10" s="1"/>
  <c r="F351" i="10"/>
  <c r="G350" i="10"/>
  <c r="H350" i="10" s="1"/>
  <c r="I350" i="10" s="1"/>
  <c r="J349" i="10"/>
  <c r="K348" i="10"/>
  <c r="L348" i="10" s="1"/>
  <c r="M348" i="10" s="1"/>
  <c r="N348" i="10"/>
  <c r="O348" i="10" s="1"/>
  <c r="P348" i="10" s="1"/>
  <c r="R348" i="10" l="1"/>
  <c r="T348" i="10" s="1"/>
  <c r="Q348" i="10"/>
  <c r="S348" i="10" s="1"/>
  <c r="W348" i="10" s="1"/>
  <c r="N349" i="10"/>
  <c r="O349" i="10" s="1"/>
  <c r="P349" i="10" s="1"/>
  <c r="K349" i="10"/>
  <c r="L349" i="10" s="1"/>
  <c r="M349" i="10" s="1"/>
  <c r="J350" i="10"/>
  <c r="U351" i="10"/>
  <c r="V351" i="10" s="1"/>
  <c r="G351" i="10"/>
  <c r="H351" i="10" s="1"/>
  <c r="I351" i="10" s="1"/>
  <c r="F352" i="10"/>
  <c r="Q349" i="10" l="1"/>
  <c r="S349" i="10" s="1"/>
  <c r="W349" i="10" s="1"/>
  <c r="R349" i="10"/>
  <c r="T349" i="10" s="1"/>
  <c r="J351" i="10"/>
  <c r="N350" i="10"/>
  <c r="O350" i="10" s="1"/>
  <c r="P350" i="10" s="1"/>
  <c r="K350" i="10"/>
  <c r="L350" i="10" s="1"/>
  <c r="M350" i="10" s="1"/>
  <c r="F353" i="10"/>
  <c r="U352" i="10"/>
  <c r="V352" i="10" s="1"/>
  <c r="G352" i="10"/>
  <c r="H352" i="10" s="1"/>
  <c r="I352" i="10" s="1"/>
  <c r="U353" i="10" l="1"/>
  <c r="V353" i="10" s="1"/>
  <c r="G353" i="10"/>
  <c r="H353" i="10" s="1"/>
  <c r="I353" i="10" s="1"/>
  <c r="F354" i="10"/>
  <c r="J352" i="10"/>
  <c r="N351" i="10"/>
  <c r="O351" i="10" s="1"/>
  <c r="P351" i="10" s="1"/>
  <c r="K351" i="10"/>
  <c r="L351" i="10" s="1"/>
  <c r="M351" i="10" s="1"/>
  <c r="R350" i="10"/>
  <c r="T350" i="10" s="1"/>
  <c r="Q350" i="10"/>
  <c r="S350" i="10" s="1"/>
  <c r="W350" i="10" s="1"/>
  <c r="N352" i="10" l="1"/>
  <c r="O352" i="10" s="1"/>
  <c r="P352" i="10" s="1"/>
  <c r="K352" i="10"/>
  <c r="L352" i="10" s="1"/>
  <c r="M352" i="10" s="1"/>
  <c r="F355" i="10"/>
  <c r="U354" i="10"/>
  <c r="V354" i="10" s="1"/>
  <c r="G354" i="10"/>
  <c r="H354" i="10" s="1"/>
  <c r="I354" i="10" s="1"/>
  <c r="Q351" i="10"/>
  <c r="S351" i="10" s="1"/>
  <c r="W351" i="10" s="1"/>
  <c r="R351" i="10"/>
  <c r="T351" i="10" s="1"/>
  <c r="J353" i="10"/>
  <c r="K353" i="10" l="1"/>
  <c r="L353" i="10" s="1"/>
  <c r="M353" i="10" s="1"/>
  <c r="N353" i="10"/>
  <c r="O353" i="10" s="1"/>
  <c r="P353" i="10" s="1"/>
  <c r="J354" i="10"/>
  <c r="U355" i="10"/>
  <c r="V355" i="10" s="1"/>
  <c r="F356" i="10"/>
  <c r="G355" i="10"/>
  <c r="H355" i="10" s="1"/>
  <c r="I355" i="10" s="1"/>
  <c r="R352" i="10"/>
  <c r="T352" i="10" s="1"/>
  <c r="Q352" i="10"/>
  <c r="S352" i="10" s="1"/>
  <c r="N354" i="10" l="1"/>
  <c r="O354" i="10" s="1"/>
  <c r="P354" i="10" s="1"/>
  <c r="K354" i="10"/>
  <c r="L354" i="10" s="1"/>
  <c r="M354" i="10" s="1"/>
  <c r="J355" i="10"/>
  <c r="F357" i="10"/>
  <c r="U356" i="10"/>
  <c r="V356" i="10" s="1"/>
  <c r="G356" i="10"/>
  <c r="H356" i="10" s="1"/>
  <c r="I356" i="10" s="1"/>
  <c r="R353" i="10"/>
  <c r="T353" i="10" s="1"/>
  <c r="Q353" i="10"/>
  <c r="S353" i="10" s="1"/>
  <c r="W353" i="10" s="1"/>
  <c r="W352" i="10"/>
  <c r="J356" i="10" l="1"/>
  <c r="F358" i="10"/>
  <c r="G357" i="10"/>
  <c r="H357" i="10" s="1"/>
  <c r="I357" i="10" s="1"/>
  <c r="U357" i="10"/>
  <c r="V357" i="10" s="1"/>
  <c r="K355" i="10"/>
  <c r="L355" i="10" s="1"/>
  <c r="M355" i="10" s="1"/>
  <c r="N355" i="10"/>
  <c r="O355" i="10" s="1"/>
  <c r="P355" i="10" s="1"/>
  <c r="R354" i="10"/>
  <c r="T354" i="10" s="1"/>
  <c r="Q354" i="10"/>
  <c r="S354" i="10" s="1"/>
  <c r="W354" i="10" s="1"/>
  <c r="R355" i="10" l="1"/>
  <c r="T355" i="10" s="1"/>
  <c r="Q355" i="10"/>
  <c r="S355" i="10" s="1"/>
  <c r="W355" i="10" s="1"/>
  <c r="J357" i="10"/>
  <c r="U358" i="10"/>
  <c r="V358" i="10" s="1"/>
  <c r="G358" i="10"/>
  <c r="H358" i="10" s="1"/>
  <c r="I358" i="10" s="1"/>
  <c r="F359" i="10"/>
  <c r="N356" i="10"/>
  <c r="O356" i="10" s="1"/>
  <c r="P356" i="10" s="1"/>
  <c r="K356" i="10"/>
  <c r="L356" i="10" s="1"/>
  <c r="M356" i="10" s="1"/>
  <c r="R356" i="10" l="1"/>
  <c r="T356" i="10" s="1"/>
  <c r="Q356" i="10"/>
  <c r="S356" i="10" s="1"/>
  <c r="W356" i="10" s="1"/>
  <c r="J358" i="10"/>
  <c r="K357" i="10"/>
  <c r="L357" i="10" s="1"/>
  <c r="M357" i="10" s="1"/>
  <c r="N357" i="10"/>
  <c r="O357" i="10" s="1"/>
  <c r="P357" i="10" s="1"/>
  <c r="U359" i="10"/>
  <c r="V359" i="10" s="1"/>
  <c r="F360" i="10"/>
  <c r="G359" i="10"/>
  <c r="H359" i="10" s="1"/>
  <c r="I359" i="10" s="1"/>
  <c r="R357" i="10" l="1"/>
  <c r="T357" i="10" s="1"/>
  <c r="Q357" i="10"/>
  <c r="S357" i="10" s="1"/>
  <c r="W357" i="10" s="1"/>
  <c r="U360" i="10"/>
  <c r="V360" i="10" s="1"/>
  <c r="F361" i="10"/>
  <c r="G360" i="10"/>
  <c r="H360" i="10" s="1"/>
  <c r="I360" i="10" s="1"/>
  <c r="N358" i="10"/>
  <c r="O358" i="10" s="1"/>
  <c r="P358" i="10" s="1"/>
  <c r="K358" i="10"/>
  <c r="L358" i="10" s="1"/>
  <c r="M358" i="10" s="1"/>
  <c r="J359" i="10"/>
  <c r="R358" i="10" l="1"/>
  <c r="T358" i="10" s="1"/>
  <c r="Q358" i="10"/>
  <c r="S358" i="10" s="1"/>
  <c r="W358" i="10" s="1"/>
  <c r="N359" i="10"/>
  <c r="O359" i="10" s="1"/>
  <c r="P359" i="10" s="1"/>
  <c r="K359" i="10"/>
  <c r="L359" i="10" s="1"/>
  <c r="M359" i="10" s="1"/>
  <c r="J360" i="10"/>
  <c r="F362" i="10"/>
  <c r="U361" i="10"/>
  <c r="V361" i="10" s="1"/>
  <c r="G361" i="10"/>
  <c r="H361" i="10" s="1"/>
  <c r="I361" i="10" s="1"/>
  <c r="R359" i="10" l="1"/>
  <c r="T359" i="10" s="1"/>
  <c r="Q359" i="10"/>
  <c r="S359" i="10" s="1"/>
  <c r="W359" i="10" s="1"/>
  <c r="F363" i="10"/>
  <c r="U362" i="10"/>
  <c r="V362" i="10" s="1"/>
  <c r="G362" i="10"/>
  <c r="H362" i="10" s="1"/>
  <c r="I362" i="10" s="1"/>
  <c r="K360" i="10"/>
  <c r="L360" i="10" s="1"/>
  <c r="M360" i="10" s="1"/>
  <c r="N360" i="10"/>
  <c r="O360" i="10" s="1"/>
  <c r="P360" i="10" s="1"/>
  <c r="J361" i="10"/>
  <c r="R360" i="10" l="1"/>
  <c r="T360" i="10" s="1"/>
  <c r="Q360" i="10"/>
  <c r="S360" i="10" s="1"/>
  <c r="W360" i="10" s="1"/>
  <c r="U363" i="10"/>
  <c r="V363" i="10" s="1"/>
  <c r="F364" i="10"/>
  <c r="G363" i="10"/>
  <c r="H363" i="10" s="1"/>
  <c r="I363" i="10" s="1"/>
  <c r="N361" i="10"/>
  <c r="O361" i="10" s="1"/>
  <c r="P361" i="10" s="1"/>
  <c r="K361" i="10"/>
  <c r="L361" i="10" s="1"/>
  <c r="M361" i="10" s="1"/>
  <c r="J362" i="10"/>
  <c r="R361" i="10" l="1"/>
  <c r="T361" i="10" s="1"/>
  <c r="Q361" i="10"/>
  <c r="S361" i="10" s="1"/>
  <c r="W361" i="10" s="1"/>
  <c r="J363" i="10"/>
  <c r="U364" i="10"/>
  <c r="V364" i="10" s="1"/>
  <c r="F365" i="10"/>
  <c r="G364" i="10"/>
  <c r="H364" i="10" s="1"/>
  <c r="I364" i="10" s="1"/>
  <c r="N362" i="10"/>
  <c r="O362" i="10" s="1"/>
  <c r="P362" i="10" s="1"/>
  <c r="K362" i="10"/>
  <c r="L362" i="10" s="1"/>
  <c r="M362" i="10" s="1"/>
  <c r="R362" i="10" l="1"/>
  <c r="T362" i="10" s="1"/>
  <c r="Q362" i="10"/>
  <c r="S362" i="10" s="1"/>
  <c r="W362" i="10" s="1"/>
  <c r="N363" i="10"/>
  <c r="O363" i="10" s="1"/>
  <c r="P363" i="10" s="1"/>
  <c r="K363" i="10"/>
  <c r="L363" i="10" s="1"/>
  <c r="M363" i="10" s="1"/>
  <c r="J364" i="10"/>
  <c r="F366" i="10"/>
  <c r="G365" i="10"/>
  <c r="H365" i="10" s="1"/>
  <c r="I365" i="10" s="1"/>
  <c r="U365" i="10"/>
  <c r="V365" i="10" s="1"/>
  <c r="N364" i="10" l="1"/>
  <c r="O364" i="10" s="1"/>
  <c r="P364" i="10" s="1"/>
  <c r="K364" i="10"/>
  <c r="L364" i="10" s="1"/>
  <c r="M364" i="10" s="1"/>
  <c r="F367" i="10"/>
  <c r="G366" i="10"/>
  <c r="H366" i="10" s="1"/>
  <c r="I366" i="10" s="1"/>
  <c r="U366" i="10"/>
  <c r="V366" i="10" s="1"/>
  <c r="R363" i="10"/>
  <c r="T363" i="10" s="1"/>
  <c r="Q363" i="10"/>
  <c r="S363" i="10" s="1"/>
  <c r="W363" i="10" s="1"/>
  <c r="J365" i="10"/>
  <c r="K365" i="10" l="1"/>
  <c r="L365" i="10" s="1"/>
  <c r="M365" i="10" s="1"/>
  <c r="N365" i="10"/>
  <c r="O365" i="10" s="1"/>
  <c r="P365" i="10" s="1"/>
  <c r="J366" i="10"/>
  <c r="U367" i="10"/>
  <c r="V367" i="10" s="1"/>
  <c r="F368" i="10"/>
  <c r="G367" i="10"/>
  <c r="H367" i="10" s="1"/>
  <c r="I367" i="10" s="1"/>
  <c r="R364" i="10"/>
  <c r="T364" i="10" s="1"/>
  <c r="Q364" i="10"/>
  <c r="S364" i="10" s="1"/>
  <c r="W364" i="10" s="1"/>
  <c r="J367" i="10" l="1"/>
  <c r="K366" i="10"/>
  <c r="L366" i="10" s="1"/>
  <c r="M366" i="10" s="1"/>
  <c r="N366" i="10"/>
  <c r="O366" i="10" s="1"/>
  <c r="P366" i="10" s="1"/>
  <c r="G368" i="10"/>
  <c r="H368" i="10" s="1"/>
  <c r="I368" i="10" s="1"/>
  <c r="F369" i="10"/>
  <c r="U368" i="10"/>
  <c r="V368" i="10" s="1"/>
  <c r="Q365" i="10"/>
  <c r="S365" i="10" s="1"/>
  <c r="R365" i="10"/>
  <c r="T365" i="10" s="1"/>
  <c r="W365" i="10" l="1"/>
  <c r="R366" i="10"/>
  <c r="T366" i="10" s="1"/>
  <c r="Q366" i="10"/>
  <c r="S366" i="10" s="1"/>
  <c r="W366" i="10" s="1"/>
  <c r="J368" i="10"/>
  <c r="F370" i="10"/>
  <c r="G369" i="10"/>
  <c r="H369" i="10" s="1"/>
  <c r="I369" i="10" s="1"/>
  <c r="U369" i="10"/>
  <c r="V369" i="10" s="1"/>
  <c r="K367" i="10"/>
  <c r="L367" i="10" s="1"/>
  <c r="M367" i="10" s="1"/>
  <c r="N367" i="10"/>
  <c r="O367" i="10" s="1"/>
  <c r="P367" i="10" s="1"/>
  <c r="J369" i="10" l="1"/>
  <c r="U370" i="10"/>
  <c r="V370" i="10" s="1"/>
  <c r="F371" i="10"/>
  <c r="G370" i="10"/>
  <c r="H370" i="10" s="1"/>
  <c r="I370" i="10" s="1"/>
  <c r="N368" i="10"/>
  <c r="O368" i="10" s="1"/>
  <c r="P368" i="10" s="1"/>
  <c r="K368" i="10"/>
  <c r="L368" i="10" s="1"/>
  <c r="M368" i="10" s="1"/>
  <c r="Q367" i="10"/>
  <c r="S367" i="10" s="1"/>
  <c r="W367" i="10" s="1"/>
  <c r="R367" i="10"/>
  <c r="T367" i="10" s="1"/>
  <c r="J370" i="10" l="1"/>
  <c r="U371" i="10"/>
  <c r="V371" i="10" s="1"/>
  <c r="G371" i="10"/>
  <c r="H371" i="10" s="1"/>
  <c r="I371" i="10" s="1"/>
  <c r="F372" i="10"/>
  <c r="R368" i="10"/>
  <c r="T368" i="10" s="1"/>
  <c r="Q368" i="10"/>
  <c r="S368" i="10" s="1"/>
  <c r="W368" i="10" s="1"/>
  <c r="K369" i="10"/>
  <c r="L369" i="10" s="1"/>
  <c r="M369" i="10" s="1"/>
  <c r="N369" i="10"/>
  <c r="O369" i="10" s="1"/>
  <c r="P369" i="10" s="1"/>
  <c r="J371" i="10" l="1"/>
  <c r="K370" i="10"/>
  <c r="L370" i="10" s="1"/>
  <c r="M370" i="10" s="1"/>
  <c r="N370" i="10"/>
  <c r="O370" i="10" s="1"/>
  <c r="P370" i="10" s="1"/>
  <c r="F373" i="10"/>
  <c r="U372" i="10"/>
  <c r="V372" i="10" s="1"/>
  <c r="G372" i="10"/>
  <c r="H372" i="10" s="1"/>
  <c r="I372" i="10" s="1"/>
  <c r="Q369" i="10"/>
  <c r="S369" i="10" s="1"/>
  <c r="W369" i="10" s="1"/>
  <c r="R369" i="10"/>
  <c r="T369" i="10" s="1"/>
  <c r="R370" i="10" l="1"/>
  <c r="T370" i="10" s="1"/>
  <c r="Q370" i="10"/>
  <c r="S370" i="10" s="1"/>
  <c r="W370" i="10" s="1"/>
  <c r="G373" i="10"/>
  <c r="H373" i="10" s="1"/>
  <c r="I373" i="10" s="1"/>
  <c r="U373" i="10"/>
  <c r="V373" i="10" s="1"/>
  <c r="J372" i="10"/>
  <c r="K371" i="10"/>
  <c r="L371" i="10" s="1"/>
  <c r="M371" i="10" s="1"/>
  <c r="N371" i="10"/>
  <c r="O371" i="10" s="1"/>
  <c r="P371" i="10" s="1"/>
  <c r="Q371" i="10" l="1"/>
  <c r="S371" i="10" s="1"/>
  <c r="W371" i="10" s="1"/>
  <c r="R371" i="10"/>
  <c r="T371" i="10" s="1"/>
  <c r="N372" i="10"/>
  <c r="O372" i="10" s="1"/>
  <c r="P372" i="10" s="1"/>
  <c r="K372" i="10"/>
  <c r="L372" i="10" s="1"/>
  <c r="M372" i="10" s="1"/>
  <c r="J373" i="10"/>
  <c r="R372" i="10" l="1"/>
  <c r="T372" i="10" s="1"/>
  <c r="Q372" i="10"/>
  <c r="S372" i="10" s="1"/>
  <c r="W372" i="10" s="1"/>
  <c r="N373" i="10"/>
  <c r="O373" i="10" s="1"/>
  <c r="P373" i="10" s="1"/>
  <c r="K373" i="10"/>
  <c r="L373" i="10" s="1"/>
  <c r="M373" i="10" s="1"/>
  <c r="R373" i="10" l="1"/>
  <c r="T373" i="10" s="1"/>
  <c r="Q373" i="10"/>
  <c r="S373" i="10" s="1"/>
  <c r="W373" i="10" s="1"/>
  <c r="J39" i="12" s="1"/>
  <c r="O9" i="12" l="1"/>
  <c r="J9" i="12"/>
  <c r="E9" i="12"/>
  <c r="Y9" i="12"/>
  <c r="T9" i="12"/>
  <c r="AD33" i="12"/>
  <c r="T27" i="12"/>
  <c r="AI27" i="12"/>
  <c r="AI15" i="12"/>
  <c r="T33" i="12"/>
  <c r="AI21" i="12"/>
  <c r="Y27" i="12"/>
  <c r="E15" i="12"/>
  <c r="Y15" i="12"/>
  <c r="AI9" i="12"/>
  <c r="AD21" i="12"/>
  <c r="O15" i="12"/>
  <c r="J15" i="12"/>
  <c r="AD27" i="12"/>
  <c r="E21" i="12"/>
  <c r="Y21" i="12"/>
  <c r="Y33" i="12"/>
  <c r="AD9" i="12"/>
  <c r="AD15" i="12"/>
  <c r="T15" i="12"/>
  <c r="J21" i="12"/>
  <c r="AI33" i="12"/>
  <c r="T21" i="12"/>
  <c r="O27" i="12"/>
  <c r="O21" i="12"/>
  <c r="E39" i="12"/>
  <c r="O33" i="12"/>
  <c r="J33" i="12"/>
  <c r="J27" i="12"/>
  <c r="E33" i="12"/>
  <c r="E27" i="12"/>
</calcChain>
</file>

<file path=xl/sharedStrings.xml><?xml version="1.0" encoding="utf-8"?>
<sst xmlns="http://schemas.openxmlformats.org/spreadsheetml/2006/main" count="836" uniqueCount="564">
  <si>
    <t>Jours fériés</t>
  </si>
  <si>
    <t>Fête du Travail</t>
  </si>
  <si>
    <t>Assomption</t>
  </si>
  <si>
    <t>Toussaint</t>
  </si>
  <si>
    <t>Noël</t>
  </si>
  <si>
    <t>Ascension</t>
  </si>
  <si>
    <t>Pentecôte</t>
  </si>
  <si>
    <t>Jour de la semaine</t>
  </si>
  <si>
    <t>Jour de l'An</t>
  </si>
  <si>
    <t>Pâques</t>
  </si>
  <si>
    <t>Lundi de Pentecôte</t>
  </si>
  <si>
    <t>Fête Nationale</t>
  </si>
  <si>
    <t>Armistice 1918</t>
  </si>
  <si>
    <t>Victoire de 1945</t>
  </si>
  <si>
    <t>An</t>
  </si>
  <si>
    <t>Lu</t>
  </si>
  <si>
    <t>Ma</t>
  </si>
  <si>
    <t>Me</t>
  </si>
  <si>
    <t>Je</t>
  </si>
  <si>
    <t>Ve</t>
  </si>
  <si>
    <t>Sa</t>
  </si>
  <si>
    <t>Di</t>
  </si>
  <si>
    <t>Jour de l’An</t>
  </si>
  <si>
    <t>Lundi des Pâques</t>
  </si>
  <si>
    <t>Anniversaires</t>
  </si>
  <si>
    <t>S</t>
  </si>
  <si>
    <t>Q</t>
  </si>
  <si>
    <t>Événements Personnels</t>
  </si>
  <si>
    <t>Lune</t>
  </si>
  <si>
    <t>Lun. Pentecôte</t>
  </si>
  <si>
    <t>Heure d'été (+1)</t>
  </si>
  <si>
    <t>Heure d'hiver (-1)</t>
  </si>
  <si>
    <t>Lun. Pâques</t>
  </si>
  <si>
    <t>Pâques, H Été (+1)</t>
  </si>
  <si>
    <t>Commentaire du bandeau:</t>
  </si>
  <si>
    <t>Plage</t>
  </si>
  <si>
    <t>Année début</t>
  </si>
  <si>
    <t>Anné Fin</t>
  </si>
  <si>
    <t>Année Début</t>
  </si>
  <si>
    <t>Mois</t>
  </si>
  <si>
    <t>Année +1</t>
  </si>
  <si>
    <t>Texte du bandeau:</t>
  </si>
  <si>
    <t>Doublons</t>
  </si>
  <si>
    <t>Ascens., Fête Trav.</t>
  </si>
  <si>
    <t>Année début:</t>
  </si>
  <si>
    <t>Mois début:</t>
  </si>
  <si>
    <t>dimanche</t>
  </si>
  <si>
    <t>samedi</t>
  </si>
  <si>
    <t>vendredi</t>
  </si>
  <si>
    <t>jeudi</t>
  </si>
  <si>
    <t>mercredi</t>
  </si>
  <si>
    <t>mardi</t>
  </si>
  <si>
    <t>lundi</t>
  </si>
  <si>
    <t/>
  </si>
  <si>
    <t>Saints du jour</t>
  </si>
  <si>
    <t>Marion</t>
  </si>
  <si>
    <t>Basile, Grégoire</t>
  </si>
  <si>
    <t>Geneviève, Ginette</t>
  </si>
  <si>
    <t>Odilon</t>
  </si>
  <si>
    <t>Édouard, Siméon</t>
  </si>
  <si>
    <t>Balthazar, Mélaine, Melchior</t>
  </si>
  <si>
    <t>Cédric, Raymond, Virginie</t>
  </si>
  <si>
    <t>Lucien</t>
  </si>
  <si>
    <t>Adrien, Alice, Alix</t>
  </si>
  <si>
    <t>Guillaume</t>
  </si>
  <si>
    <t>Hortense, Paulin(e)</t>
  </si>
  <si>
    <t>Tatiana, Marguerite</t>
  </si>
  <si>
    <t>Hilaire, Yvette</t>
  </si>
  <si>
    <t>Nina, Nino</t>
  </si>
  <si>
    <t>Maur, Rachel, Rémi</t>
  </si>
  <si>
    <t>Marcel</t>
  </si>
  <si>
    <t>Antoine , Roseline</t>
  </si>
  <si>
    <t>Gwendal, Prisca</t>
  </si>
  <si>
    <t>Marius</t>
  </si>
  <si>
    <t>Fabien, Sébastien</t>
  </si>
  <si>
    <t>Agnès</t>
  </si>
  <si>
    <t>Vincent</t>
  </si>
  <si>
    <t>Barnard</t>
  </si>
  <si>
    <t>François</t>
  </si>
  <si>
    <t>Paul</t>
  </si>
  <si>
    <t>Paule, Pauline, Thimothée</t>
  </si>
  <si>
    <t>Angèle, Julien</t>
  </si>
  <si>
    <t>Charlemagne, Manfred, Thomas</t>
  </si>
  <si>
    <t>Gildas, Sulpice</t>
  </si>
  <si>
    <t>Jacinthe, Martine</t>
  </si>
  <si>
    <t>Marcelle</t>
  </si>
  <si>
    <t>Auguste, Ella, Siméon</t>
  </si>
  <si>
    <t>Théophane</t>
  </si>
  <si>
    <t>Blaise, Nelson, Oscar</t>
  </si>
  <si>
    <t>Véronique</t>
  </si>
  <si>
    <t>Agathe</t>
  </si>
  <si>
    <t>Dorothée, Gaston</t>
  </si>
  <si>
    <t>Eugènie</t>
  </si>
  <si>
    <t>Jacqueline</t>
  </si>
  <si>
    <t>Apolline</t>
  </si>
  <si>
    <t>Arnaud</t>
  </si>
  <si>
    <t>Adolphe</t>
  </si>
  <si>
    <t>Eulalie, Félix</t>
  </si>
  <si>
    <t>Béatrice</t>
  </si>
  <si>
    <t>Valentin</t>
  </si>
  <si>
    <t>Claude, Georgina, Jordan</t>
  </si>
  <si>
    <t>Julienne, Lucile, Onésime</t>
  </si>
  <si>
    <t>Alexis</t>
  </si>
  <si>
    <t>Bernadette</t>
  </si>
  <si>
    <t>Gabin</t>
  </si>
  <si>
    <t>Aimée</t>
  </si>
  <si>
    <t>Damien</t>
  </si>
  <si>
    <t>Isabelle</t>
  </si>
  <si>
    <t>Lazare</t>
  </si>
  <si>
    <t>Modeste</t>
  </si>
  <si>
    <t>Roméo</t>
  </si>
  <si>
    <t>Nestor</t>
  </si>
  <si>
    <t>Honorine, Léandre</t>
  </si>
  <si>
    <t>Romain</t>
  </si>
  <si>
    <t>Auguste</t>
  </si>
  <si>
    <t>Albin, Aubin, Jonathan</t>
  </si>
  <si>
    <t>Charles</t>
  </si>
  <si>
    <t>Guénolé, Marin</t>
  </si>
  <si>
    <t>Casimir</t>
  </si>
  <si>
    <t>Olivia, Olive</t>
  </si>
  <si>
    <t>Colette</t>
  </si>
  <si>
    <t>Félicité, Nathan</t>
  </si>
  <si>
    <t>Jean de Dieu</t>
  </si>
  <si>
    <t>Françoise, Fanchon</t>
  </si>
  <si>
    <t>Vivien</t>
  </si>
  <si>
    <t>Euloge, Rosine</t>
  </si>
  <si>
    <t>Justine, Pol</t>
  </si>
  <si>
    <t>Rodrigue</t>
  </si>
  <si>
    <t>Mahaut, Mathilde, Maud</t>
  </si>
  <si>
    <t>Louise</t>
  </si>
  <si>
    <t>Bénédicte</t>
  </si>
  <si>
    <t>Patrice, Patrick</t>
  </si>
  <si>
    <t>Cyrille</t>
  </si>
  <si>
    <t>Joseph</t>
  </si>
  <si>
    <t>Herbert</t>
  </si>
  <si>
    <t>Axelle, Clémence</t>
  </si>
  <si>
    <t>Léa</t>
  </si>
  <si>
    <t>Rebecca, Victorien</t>
  </si>
  <si>
    <t>Catherine, Karine</t>
  </si>
  <si>
    <t>Humbert</t>
  </si>
  <si>
    <t>Larissa</t>
  </si>
  <si>
    <t>Habib</t>
  </si>
  <si>
    <t>Gontran</t>
  </si>
  <si>
    <t>Gladys</t>
  </si>
  <si>
    <t>Amédée</t>
  </si>
  <si>
    <t>Benjamin</t>
  </si>
  <si>
    <t>Hugues, Valéry</t>
  </si>
  <si>
    <t>Sandrine</t>
  </si>
  <si>
    <t>Richard</t>
  </si>
  <si>
    <t>Isidore</t>
  </si>
  <si>
    <t>Irène</t>
  </si>
  <si>
    <t>Marcellin, Prudence</t>
  </si>
  <si>
    <t>Clotaire, Jean-Baptiste</t>
  </si>
  <si>
    <t>Julie</t>
  </si>
  <si>
    <t>Gautier</t>
  </si>
  <si>
    <t>Fulbert</t>
  </si>
  <si>
    <t>Stanislas</t>
  </si>
  <si>
    <t>Jules</t>
  </si>
  <si>
    <t>Ida</t>
  </si>
  <si>
    <t>Ludivine, Maxime, Valérien</t>
  </si>
  <si>
    <t>César, Paterne</t>
  </si>
  <si>
    <t>Benoît, Joseph</t>
  </si>
  <si>
    <t>Anicet</t>
  </si>
  <si>
    <t>Parfait</t>
  </si>
  <si>
    <t>Emma, Léonide</t>
  </si>
  <si>
    <t>Odette, Théodore</t>
  </si>
  <si>
    <t>Anselme</t>
  </si>
  <si>
    <t>Alexandre, Opportune</t>
  </si>
  <si>
    <t>Georges</t>
  </si>
  <si>
    <t>Fidèle</t>
  </si>
  <si>
    <t>Marc</t>
  </si>
  <si>
    <t>Alida</t>
  </si>
  <si>
    <t>Zita</t>
  </si>
  <si>
    <t>Valérie</t>
  </si>
  <si>
    <t>Catherine</t>
  </si>
  <si>
    <t>Robert</t>
  </si>
  <si>
    <t>Brieuc, Florine, Jérémy</t>
  </si>
  <si>
    <t>Boris, Zoé</t>
  </si>
  <si>
    <t>Philippe, Jacques, Ewen</t>
  </si>
  <si>
    <t>Florian, Sylvain</t>
  </si>
  <si>
    <t>Judith</t>
  </si>
  <si>
    <t>Marien, Prudence</t>
  </si>
  <si>
    <t>Domitille, Gisèle</t>
  </si>
  <si>
    <t>Désiré,Félicité, Félicie</t>
  </si>
  <si>
    <t>Pacôme</t>
  </si>
  <si>
    <t>Solange</t>
  </si>
  <si>
    <t>Estelle, Mayeul</t>
  </si>
  <si>
    <t>Achille</t>
  </si>
  <si>
    <t>Maël, Oriane, Rolande</t>
  </si>
  <si>
    <t>Aglaé, Matthias</t>
  </si>
  <si>
    <t>Denise</t>
  </si>
  <si>
    <t>Brendan, Honoré</t>
  </si>
  <si>
    <t>Pascal</t>
  </si>
  <si>
    <t>Corinne, Éric</t>
  </si>
  <si>
    <t>Célestin, Erwan, Yves</t>
  </si>
  <si>
    <t>Bernardin</t>
  </si>
  <si>
    <t>Constantin</t>
  </si>
  <si>
    <t>Émile, Émilie, Rita</t>
  </si>
  <si>
    <t>Didier</t>
  </si>
  <si>
    <t>Donatien</t>
  </si>
  <si>
    <t>Sophie, Urbain</t>
  </si>
  <si>
    <t>Bérenger</t>
  </si>
  <si>
    <t>Augustin</t>
  </si>
  <si>
    <t>Germain</t>
  </si>
  <si>
    <t>Aymar,Géraldine, Maximin</t>
  </si>
  <si>
    <t>Ferdinand, Jeanne, Lorraine</t>
  </si>
  <si>
    <t>Pétronille, Pierrette</t>
  </si>
  <si>
    <t>Justin, Révérien, Romain</t>
  </si>
  <si>
    <t>Blandine, Marcellin</t>
  </si>
  <si>
    <t>Kévin</t>
  </si>
  <si>
    <t>Clotilde</t>
  </si>
  <si>
    <t>Igor</t>
  </si>
  <si>
    <t>Norbert</t>
  </si>
  <si>
    <t>Gilbert</t>
  </si>
  <si>
    <t>Armand, Médard</t>
  </si>
  <si>
    <t>Diane, Félicien</t>
  </si>
  <si>
    <t>Landry</t>
  </si>
  <si>
    <t>Barnabé</t>
  </si>
  <si>
    <t>Guy</t>
  </si>
  <si>
    <t>Antoine</t>
  </si>
  <si>
    <t>Élisée, Rufin, Valère</t>
  </si>
  <si>
    <t>Germaine</t>
  </si>
  <si>
    <t>Aurélien, Jean-François Régis</t>
  </si>
  <si>
    <t>Hervé</t>
  </si>
  <si>
    <t>Léonce</t>
  </si>
  <si>
    <t>Gervais, Micheline, Romuald</t>
  </si>
  <si>
    <t>Silvère</t>
  </si>
  <si>
    <t>Rodolphe</t>
  </si>
  <si>
    <t>Alban</t>
  </si>
  <si>
    <t>Audrey</t>
  </si>
  <si>
    <t>Baptiste, Jean-Baptiste</t>
  </si>
  <si>
    <t>Aliénor, Éléonore,  Prosper, Salomon</t>
  </si>
  <si>
    <t>Anthelme</t>
  </si>
  <si>
    <t>Fernand</t>
  </si>
  <si>
    <t>Irénée</t>
  </si>
  <si>
    <t>Paul, Pierre</t>
  </si>
  <si>
    <t>Adolphe, Martial</t>
  </si>
  <si>
    <t>Aaron, Esther, Thierry</t>
  </si>
  <si>
    <t>Martinien</t>
  </si>
  <si>
    <t>Anatole, Thomas</t>
  </si>
  <si>
    <t>Berthe, Florent</t>
  </si>
  <si>
    <t>Nolwen, Mariette</t>
  </si>
  <si>
    <t>Raoul</t>
  </si>
  <si>
    <t>Edgard, Priscilla, Thibaud</t>
  </si>
  <si>
    <t>Amandine, Hermine, Marianne, Procule</t>
  </si>
  <si>
    <t>Ulrich</t>
  </si>
  <si>
    <t>Benoît, Olga, Savin, Yolande</t>
  </si>
  <si>
    <t>Jason, Olivier</t>
  </si>
  <si>
    <t>Enzo, Eugène, Henri, Joël</t>
  </si>
  <si>
    <t>Camille</t>
  </si>
  <si>
    <t>Donald, Vladimir</t>
  </si>
  <si>
    <t>Elvire, Dolores</t>
  </si>
  <si>
    <t>Alexis, Arlette, Charlotte, Marceline</t>
  </si>
  <si>
    <t>Frédéric</t>
  </si>
  <si>
    <t>Arsène, Micheline</t>
  </si>
  <si>
    <t>Elie, Marguerite, Marine</t>
  </si>
  <si>
    <t>Rudolphe, Térence, Victor</t>
  </si>
  <si>
    <t>Madeleine, Wandrille</t>
  </si>
  <si>
    <t>Brigitte</t>
  </si>
  <si>
    <t>Christine, Ségolène</t>
  </si>
  <si>
    <t>Jacques, Valentine</t>
  </si>
  <si>
    <t>Anaïs,Anne, Hannah, Joachim</t>
  </si>
  <si>
    <t>Aurèle, Nathalie</t>
  </si>
  <si>
    <t>Samson</t>
  </si>
  <si>
    <t>Béatrix, Loup, Marthe</t>
  </si>
  <si>
    <t>Juliette</t>
  </si>
  <si>
    <t>Ignace</t>
  </si>
  <si>
    <t>Alphonse</t>
  </si>
  <si>
    <t>Eusèbe, Julien, Eymard</t>
  </si>
  <si>
    <t>Lydie</t>
  </si>
  <si>
    <t>Jean-Marie</t>
  </si>
  <si>
    <t>Abel</t>
  </si>
  <si>
    <t>Octavien</t>
  </si>
  <si>
    <t>Gaétan</t>
  </si>
  <si>
    <t>Dominique</t>
  </si>
  <si>
    <t>Amour</t>
  </si>
  <si>
    <t>Laurent</t>
  </si>
  <si>
    <t>Claire, Gilberte, Suzanne</t>
  </si>
  <si>
    <t>Clarisse</t>
  </si>
  <si>
    <t>Hippolyte, Radegonde</t>
  </si>
  <si>
    <t>Évrard</t>
  </si>
  <si>
    <t>Alfred, Marie, Mireille</t>
  </si>
  <si>
    <t>Armel, Roch</t>
  </si>
  <si>
    <t>Hyacinthe</t>
  </si>
  <si>
    <t>Hélène, Læticia</t>
  </si>
  <si>
    <t>Jean Eudes</t>
  </si>
  <si>
    <t>Bernard, Samuel</t>
  </si>
  <si>
    <t>Christophe, Grâce, Ombeline</t>
  </si>
  <si>
    <t>Fabrice, Symphorien</t>
  </si>
  <si>
    <t>Rose</t>
  </si>
  <si>
    <t>Barthélémy</t>
  </si>
  <si>
    <t>Louis</t>
  </si>
  <si>
    <t>Natacha</t>
  </si>
  <si>
    <t>Césaire, Monique</t>
  </si>
  <si>
    <t>Augustin, Elouan</t>
  </si>
  <si>
    <t>Médéric, Sabine</t>
  </si>
  <si>
    <t>Fiacre</t>
  </si>
  <si>
    <t>Aristide</t>
  </si>
  <si>
    <t>Gilles, Jossué</t>
  </si>
  <si>
    <t>Ingrid</t>
  </si>
  <si>
    <t>Grégoire</t>
  </si>
  <si>
    <t>Irma, Iris, Moïse, Rosalie</t>
  </si>
  <si>
    <t>Raïssa</t>
  </si>
  <si>
    <t>Bertrand, Eva, Onésiphore</t>
  </si>
  <si>
    <t>Réjane, Reine</t>
  </si>
  <si>
    <t>Adrien, Béline, Corbinien</t>
  </si>
  <si>
    <t>Alain, Omer</t>
  </si>
  <si>
    <t>Inès</t>
  </si>
  <si>
    <t>Adelphe, Glenn, Vinciane</t>
  </si>
  <si>
    <t>Apollinaire</t>
  </si>
  <si>
    <t>Aimé</t>
  </si>
  <si>
    <t>Croix, Materne</t>
  </si>
  <si>
    <t>Dolores, Rolland</t>
  </si>
  <si>
    <t>Édith</t>
  </si>
  <si>
    <t>Hildegarde, Lambert, Renaud</t>
  </si>
  <si>
    <t>Joseph, Nadège, Véra</t>
  </si>
  <si>
    <t>Amélie, Émilie, Janvier</t>
  </si>
  <si>
    <t>Davy, Eustache</t>
  </si>
  <si>
    <t>Déborah, Jonas, Matthieu, Mélissa</t>
  </si>
  <si>
    <t>Maurice</t>
  </si>
  <si>
    <t>Constant, Faustine</t>
  </si>
  <si>
    <t>Thècle</t>
  </si>
  <si>
    <t>Hermann</t>
  </si>
  <si>
    <t>Côme, Damien</t>
  </si>
  <si>
    <t>Vincent de Paul</t>
  </si>
  <si>
    <t>Venceslas</t>
  </si>
  <si>
    <t>Gabriel, Michel, Raphaël</t>
  </si>
  <si>
    <t>Jérôme</t>
  </si>
  <si>
    <t>Ariel, Mélodie, Muriel, Thérèse</t>
  </si>
  <si>
    <t>Léger,Ruth</t>
  </si>
  <si>
    <t>Gérard, Sybille</t>
  </si>
  <si>
    <t>Aure, Bérénice, François, Frank</t>
  </si>
  <si>
    <t>Camélia, Capucine, Fleur</t>
  </si>
  <si>
    <t>Bruno</t>
  </si>
  <si>
    <t>Gustave, Serge</t>
  </si>
  <si>
    <t>Pélagie, Thaïs</t>
  </si>
  <si>
    <t>Denis</t>
  </si>
  <si>
    <t>Ghislain, Virgile</t>
  </si>
  <si>
    <t>Firmin</t>
  </si>
  <si>
    <t>Alfred, Edwin, Séraphin, Wilfried</t>
  </si>
  <si>
    <t>Géraud</t>
  </si>
  <si>
    <t>Céleste, Gwendoline, Juste</t>
  </si>
  <si>
    <t>Aurélie, Thérèse</t>
  </si>
  <si>
    <t>Edwige, Gall</t>
  </si>
  <si>
    <t>Baudoin, Solène</t>
  </si>
  <si>
    <t>Luc</t>
  </si>
  <si>
    <t>Cléo, René</t>
  </si>
  <si>
    <t>Adeline, Aline</t>
  </si>
  <si>
    <t>Céline,Ursule</t>
  </si>
  <si>
    <t>Élodie, Salomé, Sara</t>
  </si>
  <si>
    <t>Jean de Capistran, Simon</t>
  </si>
  <si>
    <t>Florentin</t>
  </si>
  <si>
    <t>Crépin, Doria</t>
  </si>
  <si>
    <t>Amand, Dimitri</t>
  </si>
  <si>
    <t>Émeline</t>
  </si>
  <si>
    <t>Simon, Jude</t>
  </si>
  <si>
    <t>Narcisse</t>
  </si>
  <si>
    <t>Bienvenu, Maéva</t>
  </si>
  <si>
    <t>Quentin, Wolfgang</t>
  </si>
  <si>
    <t>Malachie</t>
  </si>
  <si>
    <t>Gwénaël, Hubert</t>
  </si>
  <si>
    <t>Aymeric, Charles, Jessé</t>
  </si>
  <si>
    <t>Sylviane, Sylvie, Zacharie</t>
  </si>
  <si>
    <t>Bertille, Léonard</t>
  </si>
  <si>
    <t>Carine, Ernest</t>
  </si>
  <si>
    <t>Dora, Geoffroy</t>
  </si>
  <si>
    <t>Mathurin, Théodore</t>
  </si>
  <si>
    <t>Léon, Noé</t>
  </si>
  <si>
    <t>Martin, Vérane</t>
  </si>
  <si>
    <t>Christian</t>
  </si>
  <si>
    <t>Brice</t>
  </si>
  <si>
    <t>Sidoine</t>
  </si>
  <si>
    <t>Albert, Arthur, Léopold</t>
  </si>
  <si>
    <t>Gertrude, Marguerite, Mégane</t>
  </si>
  <si>
    <t>Élisabeth, Elise, Hilda</t>
  </si>
  <si>
    <t>Aude</t>
  </si>
  <si>
    <t>Tanguy</t>
  </si>
  <si>
    <t>Edmond, Octave</t>
  </si>
  <si>
    <t>Dimitri</t>
  </si>
  <si>
    <t>Cécile</t>
  </si>
  <si>
    <t>Clément</t>
  </si>
  <si>
    <t>Flora</t>
  </si>
  <si>
    <t>Delphine</t>
  </si>
  <si>
    <t>Séverin</t>
  </si>
  <si>
    <t>Jacques, Sosthène</t>
  </si>
  <si>
    <t>Saturnin</t>
  </si>
  <si>
    <t>André, Tugdual</t>
  </si>
  <si>
    <t>Éloi, Florence</t>
  </si>
  <si>
    <t>Viviane</t>
  </si>
  <si>
    <t>Xavier</t>
  </si>
  <si>
    <t>Barbara, Barbe</t>
  </si>
  <si>
    <t>Gérald, Gérard</t>
  </si>
  <si>
    <t>Nicolas</t>
  </si>
  <si>
    <t>Ambroise</t>
  </si>
  <si>
    <t>Frida</t>
  </si>
  <si>
    <t>Pierre Fourier</t>
  </si>
  <si>
    <t>Eulaire, Romaric</t>
  </si>
  <si>
    <t>Daniel</t>
  </si>
  <si>
    <t>Chantal, Constance, Corentin</t>
  </si>
  <si>
    <t>Jocelyn, Lucie</t>
  </si>
  <si>
    <t>Odile</t>
  </si>
  <si>
    <t>Ninon</t>
  </si>
  <si>
    <t>Alice</t>
  </si>
  <si>
    <t>Adélaïde, Gaël, Judicaël</t>
  </si>
  <si>
    <t>Briac, Gatien</t>
  </si>
  <si>
    <t>Urbain</t>
  </si>
  <si>
    <t>Abraham, Isaac, Jacob, Théophile</t>
  </si>
  <si>
    <t>Pierre Canisius</t>
  </si>
  <si>
    <t>Françoise-Xavière, Gratien</t>
  </si>
  <si>
    <t>Armand, Évariste</t>
  </si>
  <si>
    <t>Adèle</t>
  </si>
  <si>
    <t>Emmanuel, Manuel</t>
  </si>
  <si>
    <t>Etienne, Stéphane</t>
  </si>
  <si>
    <t>Fabiola, Jean, Yoni</t>
  </si>
  <si>
    <t>Éléonore, Gaspard, Innocent</t>
  </si>
  <si>
    <t>David</t>
  </si>
  <si>
    <t>Roger</t>
  </si>
  <si>
    <t>Colombe, Sylvestre</t>
  </si>
  <si>
    <r>
      <rPr>
        <b/>
        <sz val="12"/>
        <rFont val="Arial"/>
        <family val="2"/>
      </rPr>
      <t>Option</t>
    </r>
    <r>
      <rPr>
        <sz val="12"/>
        <rFont val="Arial"/>
        <family val="2"/>
      </rPr>
      <t xml:space="preserve"> "Prénoms à fêter" dans la vue mensuelle</t>
    </r>
  </si>
  <si>
    <t>Lever</t>
  </si>
  <si>
    <t>Latitude</t>
  </si>
  <si>
    <t>Coucher</t>
  </si>
  <si>
    <t>Date</t>
  </si>
  <si>
    <t>Jour</t>
  </si>
  <si>
    <t>M</t>
  </si>
  <si>
    <t>C</t>
  </si>
  <si>
    <t>L</t>
  </si>
  <si>
    <t>R</t>
  </si>
  <si>
    <t>Dates de Changement
d'heure</t>
  </si>
  <si>
    <t>(°)</t>
  </si>
  <si>
    <t>minutes</t>
  </si>
  <si>
    <t>m:s</t>
  </si>
  <si>
    <t>Année</t>
  </si>
  <si>
    <t>H/E</t>
  </si>
  <si>
    <t>Décal</t>
  </si>
  <si>
    <t>Angle horaire</t>
  </si>
  <si>
    <t>Déclin. Solaire</t>
  </si>
  <si>
    <t>H</t>
  </si>
  <si>
    <t>Heure d'été :</t>
  </si>
  <si>
    <t>Heure d'hiver :</t>
  </si>
  <si>
    <t>Id</t>
  </si>
  <si>
    <t>Lille</t>
  </si>
  <si>
    <t>Amiens</t>
  </si>
  <si>
    <t>Rouen</t>
  </si>
  <si>
    <t>Caen</t>
  </si>
  <si>
    <t>Metz</t>
  </si>
  <si>
    <t>Châlons-en-Champagne</t>
  </si>
  <si>
    <t>Paris</t>
  </si>
  <si>
    <t>Strasbourg</t>
  </si>
  <si>
    <t>Rennes</t>
  </si>
  <si>
    <t>Orléans</t>
  </si>
  <si>
    <t>Dijon</t>
  </si>
  <si>
    <t>Besançon</t>
  </si>
  <si>
    <t>Nantes</t>
  </si>
  <si>
    <t>Poitiers</t>
  </si>
  <si>
    <t>Limoges</t>
  </si>
  <si>
    <t>Clermont-Ferrand</t>
  </si>
  <si>
    <t>Lyon</t>
  </si>
  <si>
    <t>Bordeaux</t>
  </si>
  <si>
    <t>Montpellier</t>
  </si>
  <si>
    <t>Toulouse</t>
  </si>
  <si>
    <t>Marseille</t>
  </si>
  <si>
    <t>Ajaccio</t>
  </si>
  <si>
    <t>Meudon</t>
  </si>
  <si>
    <t>Périgueux</t>
  </si>
  <si>
    <t>Équation du temps</t>
  </si>
  <si>
    <t>Longitude :</t>
  </si>
  <si>
    <t>Latitude :</t>
  </si>
  <si>
    <t>Lever et coucher du soleil mis en forme</t>
  </si>
  <si>
    <t>heure légale</t>
  </si>
  <si>
    <t>heure vraie</t>
  </si>
  <si>
    <t>heures</t>
  </si>
  <si>
    <r>
      <rPr>
        <b/>
        <sz val="12"/>
        <rFont val="Arial"/>
        <family val="2"/>
      </rPr>
      <t>Ville</t>
    </r>
    <r>
      <rPr>
        <sz val="12"/>
        <rFont val="Arial"/>
        <family val="2"/>
      </rPr>
      <t xml:space="preserve"> pour heures de lever et coucher du soleil :</t>
    </r>
  </si>
  <si>
    <t>Pays</t>
  </si>
  <si>
    <t>Métropole</t>
  </si>
  <si>
    <t>Pays Ville</t>
  </si>
  <si>
    <t>Hiver</t>
  </si>
  <si>
    <t>Été</t>
  </si>
  <si>
    <t>BE</t>
  </si>
  <si>
    <t>Bruxelles</t>
  </si>
  <si>
    <t>CH</t>
  </si>
  <si>
    <t>Zurich</t>
  </si>
  <si>
    <t>DE</t>
  </si>
  <si>
    <t>Berlin</t>
  </si>
  <si>
    <t>Francfort</t>
  </si>
  <si>
    <t>ES</t>
  </si>
  <si>
    <t>Barcelone</t>
  </si>
  <si>
    <t>Madrid</t>
  </si>
  <si>
    <t>Séville</t>
  </si>
  <si>
    <t>Valence</t>
  </si>
  <si>
    <t>FR</t>
  </si>
  <si>
    <t>GB</t>
  </si>
  <si>
    <t>Belfast</t>
  </si>
  <si>
    <t>Cardiff</t>
  </si>
  <si>
    <t>Edimbourg</t>
  </si>
  <si>
    <t>Londres</t>
  </si>
  <si>
    <t>Newcastle-upon-Tyne</t>
  </si>
  <si>
    <t>IE</t>
  </si>
  <si>
    <t>Dublin</t>
  </si>
  <si>
    <t>IT</t>
  </si>
  <si>
    <t>Milan</t>
  </si>
  <si>
    <t>Naples</t>
  </si>
  <si>
    <t>Rome</t>
  </si>
  <si>
    <t>NL</t>
  </si>
  <si>
    <t>Amsterdam</t>
  </si>
  <si>
    <t>PT</t>
  </si>
  <si>
    <t>Lisbonne</t>
  </si>
  <si>
    <t>RO</t>
  </si>
  <si>
    <t>Bucarest</t>
  </si>
  <si>
    <t>Longit.</t>
  </si>
  <si>
    <t>Calc. Lon.</t>
  </si>
  <si>
    <r>
      <rPr>
        <b/>
        <sz val="12"/>
        <rFont val="Arial"/>
        <family val="2"/>
      </rPr>
      <t>Choix</t>
    </r>
    <r>
      <rPr>
        <sz val="12"/>
        <rFont val="Arial"/>
        <family val="2"/>
      </rPr>
      <t xml:space="preserve"> des symboles:</t>
    </r>
  </si>
  <si>
    <t>🌡St de glace (Mamert)</t>
  </si>
  <si>
    <t>🌡St de glace (Pancrace)</t>
  </si>
  <si>
    <t>🌡St de glace (Servais)</t>
  </si>
  <si>
    <t>🍾 Beaujolais nouveau</t>
  </si>
  <si>
    <t xml:space="preserve"> </t>
  </si>
  <si>
    <t>Zone A</t>
  </si>
  <si>
    <t>Zone B</t>
  </si>
  <si>
    <t>Zone C</t>
  </si>
  <si>
    <t>Calendrier vacances scolaires</t>
  </si>
  <si>
    <t>Choix ?</t>
  </si>
  <si>
    <t>Martinique</t>
  </si>
  <si>
    <t>Guadeloupe</t>
  </si>
  <si>
    <t>Guyane</t>
  </si>
  <si>
    <t>Réunion</t>
  </si>
  <si>
    <t>Corse</t>
  </si>
  <si>
    <t>Mayotte</t>
  </si>
  <si>
    <t>Réserve</t>
  </si>
  <si>
    <t>Polynésie française</t>
  </si>
  <si>
    <t>Gestion des congés scolaires</t>
  </si>
  <si>
    <t>Gestion des prénoms à fêter</t>
  </si>
  <si>
    <t>Phases lune</t>
  </si>
  <si>
    <t>Gestion des jours fériés et evenements</t>
  </si>
  <si>
    <t>Nlle Calédonie</t>
  </si>
  <si>
    <t>Date arrêt</t>
  </si>
  <si>
    <t>Date reprise</t>
  </si>
  <si>
    <t>N°20</t>
  </si>
  <si>
    <t>N°19</t>
  </si>
  <si>
    <t>N°18</t>
  </si>
  <si>
    <t>N°17</t>
  </si>
  <si>
    <t>N°16</t>
  </si>
  <si>
    <t>N°15</t>
  </si>
  <si>
    <t>N°14</t>
  </si>
  <si>
    <t>N°13</t>
  </si>
  <si>
    <t>N°12</t>
  </si>
  <si>
    <t>N°11</t>
  </si>
  <si>
    <t>N°10</t>
  </si>
  <si>
    <t>N°9</t>
  </si>
  <si>
    <t>N°8</t>
  </si>
  <si>
    <t>N°7</t>
  </si>
  <si>
    <t>Fin Tableau</t>
  </si>
  <si>
    <t>Mes congés</t>
  </si>
  <si>
    <t>📅 Printemps</t>
  </si>
  <si>
    <t>📅 Été</t>
  </si>
  <si>
    <t>📅 Automne</t>
  </si>
  <si>
    <t>📅 Hiver</t>
  </si>
  <si>
    <t>TCT</t>
  </si>
  <si>
    <t>A &amp; F</t>
  </si>
  <si>
    <t>G MNR Electricité</t>
  </si>
  <si>
    <t>F JVNL Plâtrerie</t>
  </si>
  <si>
    <t>F JVNL Sol peinture</t>
  </si>
  <si>
    <t>G MNR Chauffage</t>
  </si>
  <si>
    <t>Mon calendrier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</si>
</sst>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 #,##0.00_)\ &quot;€&quot;_ ;_ * \(#,##0.00\)\ &quot;€&quot;_ ;_ * &quot;-&quot;??_)\ &quot;€&quot;_ ;_ @_ "/>
    <numFmt numFmtId="164" formatCode="d"/>
    <numFmt numFmtId="165" formatCode="dd/mm/yy;@"/>
    <numFmt numFmtId="166" formatCode="00"/>
    <numFmt numFmtId="167" formatCode="ddd\ dd\ mmmm\ yyyy"/>
    <numFmt numFmtId="168" formatCode="ddd\ dd/mm/yy"/>
    <numFmt numFmtId="169" formatCode="[$-10482]dd/mm/yyyy;@"/>
    <numFmt numFmtId="170" formatCode="mmm\ yyyy"/>
    <numFmt numFmtId="171" formatCode="mmmm"/>
    <numFmt numFmtId="172" formatCode="[$-40C]d\-mmm\-yyyy;@"/>
    <numFmt numFmtId="173" formatCode="0.000"/>
    <numFmt numFmtId="174" formatCode="0.00000"/>
    <numFmt numFmtId="175" formatCode="h:mm;@"/>
    <numFmt numFmtId="176" formatCode="h:mm"/>
    <numFmt numFmtId="177" formatCode="0.0000"/>
    <numFmt numFmtId="178" formatCode="ddd\ d\ mmm\ yy"/>
    <numFmt numFmtId="179" formatCode="ddd\ dd/mm/yy;@"/>
    <numFmt numFmtId="180" formatCode="dd\ mmm"/>
  </numFmts>
  <fonts count="87" x14ac:knownFonts="1">
    <font>
      <sz val="10"/>
      <name val="Arial"/>
    </font>
    <font>
      <sz val="12"/>
      <color theme="1"/>
      <name val="Arial"/>
      <family val="2"/>
    </font>
    <font>
      <b/>
      <sz val="14"/>
      <name val="Arial"/>
      <family val="2"/>
    </font>
    <font>
      <b/>
      <sz val="12"/>
      <name val="Arial"/>
      <family val="2"/>
    </font>
    <font>
      <u/>
      <sz val="10"/>
      <color theme="10"/>
      <name val="Arial"/>
      <family val="2"/>
    </font>
    <font>
      <u/>
      <sz val="10"/>
      <color theme="11"/>
      <name val="Arial"/>
      <family val="2"/>
    </font>
    <font>
      <sz val="12"/>
      <name val="Arial"/>
      <family val="2"/>
    </font>
    <font>
      <sz val="8"/>
      <name val="Arial"/>
      <family val="2"/>
    </font>
    <font>
      <sz val="11"/>
      <name val="Arial"/>
      <family val="2"/>
    </font>
    <font>
      <sz val="14"/>
      <name val="Arial"/>
      <family val="2"/>
    </font>
    <font>
      <sz val="9"/>
      <name val="Arial"/>
      <family val="2"/>
    </font>
    <font>
      <sz val="18"/>
      <name val="Arial"/>
      <family val="2"/>
    </font>
    <font>
      <b/>
      <i/>
      <shadow/>
      <sz val="26"/>
      <color theme="4" tint="-0.249977111117893"/>
      <name val="Arial"/>
      <family val="2"/>
    </font>
    <font>
      <i/>
      <sz val="9"/>
      <color theme="3"/>
      <name val="Arial"/>
      <family val="2"/>
    </font>
    <font>
      <b/>
      <i/>
      <shadow/>
      <sz val="14"/>
      <color theme="3"/>
      <name val="Arial"/>
      <family val="2"/>
    </font>
    <font>
      <sz val="10"/>
      <color theme="3"/>
      <name val="Arial"/>
      <family val="2"/>
    </font>
    <font>
      <i/>
      <sz val="10"/>
      <color theme="1" tint="0.34998626667073579"/>
      <name val="Arial"/>
      <family val="2"/>
    </font>
    <font>
      <sz val="10"/>
      <color theme="1" tint="0.34998626667073579"/>
      <name val="Arial"/>
      <family val="2"/>
    </font>
    <font>
      <b/>
      <sz val="18"/>
      <name val="Arial"/>
      <family val="2"/>
    </font>
    <font>
      <i/>
      <sz val="12"/>
      <name val="Arial"/>
      <family val="2"/>
    </font>
    <font>
      <i/>
      <sz val="18"/>
      <name val="Arial"/>
      <family val="2"/>
    </font>
    <font>
      <sz val="12"/>
      <color rgb="FF006100"/>
      <name val="Arial"/>
      <family val="2"/>
    </font>
    <font>
      <sz val="10"/>
      <name val="Arial"/>
      <family val="2"/>
    </font>
    <font>
      <shadow/>
      <sz val="24"/>
      <color indexed="17"/>
      <name val="Arial"/>
      <family val="2"/>
    </font>
    <font>
      <b/>
      <sz val="10"/>
      <color indexed="53"/>
      <name val="Arial"/>
      <family val="2"/>
    </font>
    <font>
      <b/>
      <shadow/>
      <sz val="10"/>
      <color indexed="57"/>
      <name val="Arial"/>
      <family val="2"/>
    </font>
    <font>
      <b/>
      <i/>
      <shadow/>
      <sz val="28"/>
      <color theme="3" tint="-0.249977111117893"/>
      <name val="Arial"/>
      <family val="2"/>
    </font>
    <font>
      <i/>
      <shadow/>
      <sz val="24"/>
      <color theme="3" tint="-0.249977111117893"/>
      <name val="Arial"/>
      <family val="2"/>
    </font>
    <font>
      <sz val="22"/>
      <name val="Arial"/>
      <family val="2"/>
    </font>
    <font>
      <b/>
      <sz val="22"/>
      <color theme="3" tint="-0.249977111117893"/>
      <name val="Arial"/>
      <family val="2"/>
    </font>
    <font>
      <i/>
      <shadow/>
      <sz val="11"/>
      <color theme="3" tint="-0.249977111117893"/>
      <name val="Arial"/>
      <family val="2"/>
    </font>
    <font>
      <b/>
      <sz val="11"/>
      <color indexed="53"/>
      <name val="Arial"/>
      <family val="2"/>
    </font>
    <font>
      <shadow/>
      <sz val="11"/>
      <color indexed="17"/>
      <name val="Arial"/>
      <family val="2"/>
    </font>
    <font>
      <sz val="11"/>
      <color theme="0"/>
      <name val="Arial"/>
      <family val="2"/>
    </font>
    <font>
      <b/>
      <sz val="22"/>
      <color theme="0" tint="-4.9989318521683403E-2"/>
      <name val="Arial"/>
      <family val="2"/>
    </font>
    <font>
      <sz val="22"/>
      <color theme="0" tint="-4.9989318521683403E-2"/>
      <name val="Arial"/>
      <family val="2"/>
    </font>
    <font>
      <sz val="11"/>
      <color theme="0" tint="-4.9989318521683403E-2"/>
      <name val="Arial"/>
      <family val="2"/>
    </font>
    <font>
      <sz val="10"/>
      <color theme="0" tint="-4.9989318521683403E-2"/>
      <name val="Arial"/>
      <family val="2"/>
    </font>
    <font>
      <b/>
      <sz val="12"/>
      <color theme="1"/>
      <name val="Arial"/>
      <family val="2"/>
    </font>
    <font>
      <i/>
      <sz val="9"/>
      <color theme="4" tint="-0.249977111117893"/>
      <name val="Arial"/>
      <family val="2"/>
    </font>
    <font>
      <sz val="12"/>
      <color theme="1" tint="0.34998626667073579"/>
      <name val="Arial"/>
      <family val="2"/>
    </font>
    <font>
      <b/>
      <sz val="22"/>
      <color theme="0" tint="-0.34998626667073579"/>
      <name val="Arial"/>
      <family val="2"/>
    </font>
    <font>
      <sz val="11"/>
      <color theme="0" tint="-0.34998626667073579"/>
      <name val="Arial"/>
      <family val="2"/>
    </font>
    <font>
      <shadow/>
      <sz val="11"/>
      <color theme="3" tint="-0.249977111117893"/>
      <name val="Arial"/>
      <family val="2"/>
    </font>
    <font>
      <sz val="14"/>
      <color theme="4" tint="-0.499984740745262"/>
      <name val="Arial"/>
      <family val="2"/>
    </font>
    <font>
      <i/>
      <sz val="10"/>
      <color theme="4" tint="-0.499984740745262"/>
      <name val="Arial"/>
      <family val="2"/>
    </font>
    <font>
      <i/>
      <sz val="11"/>
      <color theme="0" tint="-0.34998626667073579"/>
      <name val="Arial"/>
      <family val="2"/>
    </font>
    <font>
      <i/>
      <sz val="8"/>
      <color theme="3" tint="-0.249977111117893"/>
      <name val="Arial"/>
      <family val="2"/>
    </font>
    <font>
      <i/>
      <sz val="10"/>
      <name val="Arial"/>
      <family val="2"/>
    </font>
    <font>
      <sz val="12"/>
      <color theme="8" tint="0.79998168889431442"/>
      <name val="Arial"/>
      <family val="2"/>
    </font>
    <font>
      <sz val="14"/>
      <color theme="4" tint="-0.249977111117893"/>
      <name val="Arial"/>
      <family val="2"/>
    </font>
    <font>
      <i/>
      <sz val="11"/>
      <color theme="4" tint="-0.249977111117893"/>
      <name val="Arial"/>
      <family val="2"/>
    </font>
    <font>
      <b/>
      <sz val="14"/>
      <color theme="4" tint="-0.249977111117893"/>
      <name val="Arial"/>
      <family val="2"/>
    </font>
    <font>
      <i/>
      <sz val="14"/>
      <name val="Arial"/>
      <family val="2"/>
    </font>
    <font>
      <i/>
      <sz val="14"/>
      <color theme="4" tint="-0.249977111117893"/>
      <name val="Arial"/>
      <family val="2"/>
    </font>
    <font>
      <b/>
      <sz val="14"/>
      <color theme="0"/>
      <name val="Arial"/>
      <family val="2"/>
    </font>
    <font>
      <b/>
      <i/>
      <shadow/>
      <sz val="16"/>
      <color theme="3"/>
      <name val="Arial"/>
      <family val="2"/>
    </font>
    <font>
      <i/>
      <sz val="11"/>
      <name val="Arial"/>
      <family val="2"/>
    </font>
    <font>
      <i/>
      <sz val="11"/>
      <color theme="3" tint="0.79998168889431442"/>
      <name val="Arial"/>
      <family val="2"/>
    </font>
    <font>
      <b/>
      <i/>
      <shadow/>
      <sz val="24"/>
      <color theme="4" tint="-0.249977111117893"/>
      <name val="Arial"/>
      <family val="2"/>
    </font>
    <font>
      <i/>
      <shadow/>
      <sz val="18"/>
      <color theme="4" tint="-0.249977111117893"/>
      <name val="Arial"/>
      <family val="2"/>
    </font>
    <font>
      <sz val="13"/>
      <color theme="4" tint="-0.499984740745262"/>
      <name val="Arial"/>
      <family val="2"/>
    </font>
    <font>
      <sz val="13"/>
      <name val="Arial"/>
      <family val="2"/>
    </font>
    <font>
      <sz val="12"/>
      <color theme="4" tint="-0.249977111117893"/>
      <name val="Arial"/>
      <family val="2"/>
    </font>
    <font>
      <b/>
      <i/>
      <sz val="12"/>
      <name val="Arial"/>
      <family val="2"/>
    </font>
    <font>
      <i/>
      <sz val="12"/>
      <color theme="1"/>
      <name val="Arial"/>
      <family val="2"/>
    </font>
    <font>
      <sz val="12"/>
      <name val="Webdings"/>
      <charset val="2"/>
    </font>
    <font>
      <b/>
      <sz val="12"/>
      <color theme="4" tint="-0.249977111117893"/>
      <name val="Arial"/>
      <family val="2"/>
    </font>
    <font>
      <b/>
      <sz val="10"/>
      <name val="Arial"/>
      <family val="2"/>
    </font>
    <font>
      <b/>
      <sz val="12"/>
      <color theme="0" tint="-0.14999847407452621"/>
      <name val="Arial"/>
      <family val="2"/>
    </font>
    <font>
      <sz val="10"/>
      <color theme="0" tint="-0.14999847407452621"/>
      <name val="Arial"/>
      <family val="2"/>
    </font>
    <font>
      <b/>
      <sz val="10"/>
      <color theme="0"/>
      <name val="Arial"/>
      <family val="2"/>
    </font>
    <font>
      <b/>
      <i/>
      <shadow/>
      <sz val="48"/>
      <color theme="4" tint="-0.249977111117893"/>
      <name val="Arial"/>
      <family val="2"/>
    </font>
    <font>
      <b/>
      <sz val="20"/>
      <color theme="4" tint="-0.249977111117893"/>
      <name val="Arial"/>
      <family val="2"/>
    </font>
    <font>
      <sz val="14"/>
      <color theme="0" tint="-0.14999847407452621"/>
      <name val="Arial"/>
      <family val="2"/>
    </font>
    <font>
      <b/>
      <sz val="18"/>
      <color theme="0" tint="-0.14999847407452621"/>
      <name val="Arial"/>
      <family val="2"/>
    </font>
    <font>
      <sz val="16"/>
      <color theme="0" tint="-0.14999847407452621"/>
      <name val="Arial"/>
      <family val="2"/>
    </font>
    <font>
      <b/>
      <sz val="16"/>
      <color theme="4" tint="-0.249977111117893"/>
      <name val="Arial"/>
      <family val="2"/>
    </font>
    <font>
      <b/>
      <sz val="16"/>
      <color theme="0" tint="-0.14999847407452621"/>
      <name val="Arial"/>
      <family val="2"/>
    </font>
    <font>
      <b/>
      <i/>
      <sz val="16"/>
      <color theme="8" tint="0.79998168889431442"/>
      <name val="Arial"/>
      <family val="2"/>
    </font>
    <font>
      <b/>
      <sz val="10"/>
      <color theme="0" tint="-0.14999847407452621"/>
      <name val="Arial"/>
      <family val="2"/>
    </font>
    <font>
      <b/>
      <sz val="26"/>
      <color theme="0" tint="-0.14999847407452621"/>
      <name val="Arial"/>
      <family val="2"/>
    </font>
    <font>
      <b/>
      <sz val="26"/>
      <color theme="0"/>
      <name val="Arial"/>
      <family val="2"/>
    </font>
    <font>
      <b/>
      <sz val="24"/>
      <color theme="4" tint="-0.249977111117893"/>
      <name val="Arial"/>
      <family val="2"/>
    </font>
    <font>
      <b/>
      <i/>
      <shadow/>
      <sz val="9"/>
      <color theme="3"/>
      <name val="Arial"/>
      <family val="2"/>
    </font>
    <font>
      <i/>
      <sz val="9"/>
      <color theme="1" tint="0.34998626667073579"/>
      <name val="Arial"/>
      <family val="2"/>
    </font>
    <font>
      <sz val="10"/>
      <color rgb="FF000000"/>
      <name val="Geneva"/>
      <family val="2"/>
      <charset val="1"/>
    </font>
  </fonts>
  <fills count="41">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bgColor theme="4" tint="0.79998168889431442"/>
      </patternFill>
    </fill>
    <fill>
      <patternFill patternType="solid">
        <fgColor rgb="FFC6EFCE"/>
        <bgColor rgb="FF000000"/>
      </patternFill>
    </fill>
    <fill>
      <patternFill patternType="solid">
        <fgColor indexed="13"/>
        <bgColor indexed="34"/>
      </patternFill>
    </fill>
    <fill>
      <patternFill patternType="solid">
        <fgColor indexed="44"/>
        <bgColor indexed="42"/>
      </patternFill>
    </fill>
    <fill>
      <patternFill patternType="solid">
        <fgColor indexed="50"/>
        <bgColor indexed="42"/>
      </patternFill>
    </fill>
    <fill>
      <patternFill patternType="solid">
        <fgColor indexed="50"/>
        <bgColor indexed="27"/>
      </patternFill>
    </fill>
    <fill>
      <patternFill patternType="solid">
        <fgColor indexed="42"/>
        <bgColor indexed="27"/>
      </patternFill>
    </fill>
    <fill>
      <patternFill patternType="solid">
        <fgColor indexed="42"/>
        <bgColor indexed="41"/>
      </patternFill>
    </fill>
    <fill>
      <patternFill patternType="solid">
        <fgColor indexed="29"/>
        <bgColor indexed="45"/>
      </patternFill>
    </fill>
    <fill>
      <patternFill patternType="solid">
        <fgColor indexed="44"/>
        <bgColor indexed="49"/>
      </patternFill>
    </fill>
    <fill>
      <patternFill patternType="solid">
        <fgColor indexed="44"/>
        <bgColor indexed="27"/>
      </patternFill>
    </fill>
    <fill>
      <patternFill patternType="solid">
        <fgColor indexed="43"/>
        <bgColor indexed="42"/>
      </patternFill>
    </fill>
    <fill>
      <patternFill patternType="solid">
        <fgColor indexed="45"/>
        <bgColor indexed="46"/>
      </patternFill>
    </fill>
    <fill>
      <patternFill patternType="solid">
        <fgColor indexed="46"/>
        <bgColor indexed="45"/>
      </patternFill>
    </fill>
    <fill>
      <patternFill patternType="solid">
        <fgColor indexed="31"/>
        <bgColor indexed="26"/>
      </patternFill>
    </fill>
    <fill>
      <patternFill patternType="solid">
        <fgColor indexed="25"/>
        <bgColor indexed="54"/>
      </patternFill>
    </fill>
    <fill>
      <patternFill patternType="solid">
        <fgColor indexed="49"/>
        <bgColor indexed="57"/>
      </patternFill>
    </fill>
    <fill>
      <patternFill patternType="solid">
        <fgColor indexed="49"/>
        <bgColor indexed="44"/>
      </patternFill>
    </fill>
    <fill>
      <patternFill patternType="solid">
        <fgColor indexed="27"/>
        <bgColor indexed="44"/>
      </patternFill>
    </fill>
    <fill>
      <patternFill patternType="solid">
        <fgColor indexed="53"/>
        <bgColor indexed="29"/>
      </patternFill>
    </fill>
    <fill>
      <patternFill patternType="solid">
        <fgColor indexed="47"/>
        <bgColor indexed="31"/>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DCE6F1"/>
        <bgColor rgb="FF000000"/>
      </patternFill>
    </fill>
  </fills>
  <borders count="1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right/>
      <top style="thin">
        <color auto="1"/>
      </top>
      <bottom/>
      <diagonal/>
    </border>
    <border>
      <left style="thin">
        <color auto="1"/>
      </left>
      <right style="hair">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right/>
      <top style="hair">
        <color auto="1"/>
      </top>
      <bottom/>
      <diagonal/>
    </border>
    <border>
      <left/>
      <right style="medium">
        <color auto="1"/>
      </right>
      <top style="hair">
        <color auto="1"/>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medium">
        <color theme="0" tint="-0.249977111117893"/>
      </right>
      <top style="thin">
        <color theme="0" tint="-0.249977111117893"/>
      </top>
      <bottom/>
      <diagonal/>
    </border>
    <border>
      <left style="thin">
        <color theme="0" tint="-0.249977111117893"/>
      </left>
      <right/>
      <top/>
      <bottom/>
      <diagonal/>
    </border>
    <border>
      <left/>
      <right style="medium">
        <color theme="0" tint="-0.249977111117893"/>
      </right>
      <top/>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auto="1"/>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top style="hair">
        <color auto="1"/>
      </top>
      <bottom/>
      <diagonal/>
    </border>
    <border>
      <left/>
      <right style="hair">
        <color auto="1"/>
      </right>
      <top/>
      <bottom style="thin">
        <color auto="1"/>
      </bottom>
      <diagonal/>
    </border>
    <border>
      <left/>
      <right style="hair">
        <color auto="1"/>
      </right>
      <top style="thin">
        <color auto="1"/>
      </top>
      <bottom/>
      <diagonal/>
    </border>
    <border>
      <left style="dotted">
        <color auto="1"/>
      </left>
      <right/>
      <top style="thin">
        <color auto="1"/>
      </top>
      <bottom/>
      <diagonal/>
    </border>
    <border>
      <left style="dotted">
        <color auto="1"/>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medium">
        <color auto="1"/>
      </bottom>
      <diagonal/>
    </border>
    <border>
      <left style="thin">
        <color theme="4" tint="-0.249977111117893"/>
      </left>
      <right/>
      <top style="thin">
        <color theme="4" tint="-0.249977111117893"/>
      </top>
      <bottom style="medium">
        <color theme="4" tint="-0.249977111117893"/>
      </bottom>
      <diagonal/>
    </border>
    <border>
      <left/>
      <right/>
      <top style="thin">
        <color theme="4" tint="-0.249977111117893"/>
      </top>
      <bottom style="medium">
        <color theme="4" tint="-0.249977111117893"/>
      </bottom>
      <diagonal/>
    </border>
    <border>
      <left/>
      <right style="medium">
        <color theme="4" tint="-0.249977111117893"/>
      </right>
      <top style="thin">
        <color theme="4" tint="-0.249977111117893"/>
      </top>
      <bottom style="medium">
        <color theme="4" tint="-0.249977111117893"/>
      </bottom>
      <diagonal/>
    </border>
    <border>
      <left style="thin">
        <color theme="4" tint="-0.249977111117893"/>
      </left>
      <right style="hair">
        <color theme="4" tint="-0.249977111117893"/>
      </right>
      <top/>
      <bottom style="hair">
        <color theme="4" tint="-0.249977111117893"/>
      </bottom>
      <diagonal/>
    </border>
    <border>
      <left style="hair">
        <color theme="4" tint="-0.249977111117893"/>
      </left>
      <right style="hair">
        <color theme="4" tint="-0.249977111117893"/>
      </right>
      <top/>
      <bottom style="hair">
        <color theme="4" tint="-0.249977111117893"/>
      </bottom>
      <diagonal/>
    </border>
    <border>
      <left style="thin">
        <color theme="4" tint="-0.249977111117893"/>
      </left>
      <right style="hair">
        <color theme="4" tint="-0.249977111117893"/>
      </right>
      <top style="hair">
        <color theme="4" tint="-0.249977111117893"/>
      </top>
      <bottom style="hair">
        <color theme="4" tint="-0.249977111117893"/>
      </bottom>
      <diagonal/>
    </border>
    <border>
      <left style="hair">
        <color theme="4" tint="-0.249977111117893"/>
      </left>
      <right style="hair">
        <color theme="4" tint="-0.249977111117893"/>
      </right>
      <top style="hair">
        <color theme="4" tint="-0.249977111117893"/>
      </top>
      <bottom style="hair">
        <color theme="4" tint="-0.249977111117893"/>
      </bottom>
      <diagonal/>
    </border>
    <border>
      <left style="thin">
        <color theme="4" tint="-0.249977111117893"/>
      </left>
      <right style="hair">
        <color theme="4" tint="-0.249977111117893"/>
      </right>
      <top style="hair">
        <color theme="4" tint="-0.249977111117893"/>
      </top>
      <bottom style="medium">
        <color theme="4" tint="-0.249977111117893"/>
      </bottom>
      <diagonal/>
    </border>
    <border>
      <left style="hair">
        <color theme="4" tint="-0.249977111117893"/>
      </left>
      <right style="hair">
        <color theme="4" tint="-0.249977111117893"/>
      </right>
      <top style="hair">
        <color theme="4" tint="-0.249977111117893"/>
      </top>
      <bottom style="medium">
        <color theme="4" tint="-0.249977111117893"/>
      </bottom>
      <diagonal/>
    </border>
    <border>
      <left style="hair">
        <color theme="4" tint="-0.249977111117893"/>
      </left>
      <right style="medium">
        <color theme="4" tint="-0.249977111117893"/>
      </right>
      <top/>
      <bottom style="hair">
        <color theme="4" tint="-0.249977111117893"/>
      </bottom>
      <diagonal/>
    </border>
    <border>
      <left style="hair">
        <color theme="4" tint="-0.249977111117893"/>
      </left>
      <right style="medium">
        <color theme="4" tint="-0.249977111117893"/>
      </right>
      <top style="hair">
        <color theme="4" tint="-0.249977111117893"/>
      </top>
      <bottom style="hair">
        <color theme="4" tint="-0.249977111117893"/>
      </bottom>
      <diagonal/>
    </border>
    <border>
      <left style="hair">
        <color theme="4" tint="-0.249977111117893"/>
      </left>
      <right style="medium">
        <color theme="4" tint="-0.249977111117893"/>
      </right>
      <top style="hair">
        <color theme="4" tint="-0.249977111117893"/>
      </top>
      <bottom style="medium">
        <color theme="4" tint="-0.249977111117893"/>
      </bottom>
      <diagonal/>
    </border>
    <border>
      <left style="thin">
        <color theme="4" tint="-0.249977111117893"/>
      </left>
      <right style="hair">
        <color theme="3" tint="0.79998168889431442"/>
      </right>
      <top style="thin">
        <color theme="4" tint="-0.249977111117893"/>
      </top>
      <bottom/>
      <diagonal/>
    </border>
    <border>
      <left style="hair">
        <color theme="3" tint="0.79998168889431442"/>
      </left>
      <right style="hair">
        <color theme="3" tint="0.79998168889431442"/>
      </right>
      <top style="thin">
        <color theme="4" tint="-0.249977111117893"/>
      </top>
      <bottom/>
      <diagonal/>
    </border>
    <border>
      <left style="hair">
        <color theme="3" tint="0.79998168889431442"/>
      </left>
      <right style="medium">
        <color theme="4" tint="-0.249977111117893"/>
      </right>
      <top style="thin">
        <color theme="4" tint="-0.249977111117893"/>
      </top>
      <bottom style="hair">
        <color theme="3" tint="0.79998168889431442"/>
      </bottom>
      <diagonal/>
    </border>
    <border>
      <left style="thin">
        <color auto="1"/>
      </left>
      <right/>
      <top/>
      <bottom style="medium">
        <color auto="1"/>
      </bottom>
      <diagonal/>
    </border>
    <border>
      <left/>
      <right style="medium">
        <color auto="1"/>
      </right>
      <top/>
      <bottom style="medium">
        <color auto="1"/>
      </bottom>
      <diagonal/>
    </border>
    <border>
      <left/>
      <right/>
      <top/>
      <bottom style="thin">
        <color theme="4" tint="-0.249977111117893"/>
      </bottom>
      <diagonal/>
    </border>
    <border>
      <left/>
      <right style="thin">
        <color theme="4" tint="-0.249977111117893"/>
      </right>
      <top/>
      <bottom style="thin">
        <color theme="4" tint="-0.249977111117893"/>
      </bottom>
      <diagonal/>
    </border>
    <border>
      <left/>
      <right style="thin">
        <color theme="4" tint="-0.249977111117893"/>
      </right>
      <top/>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style="thin">
        <color theme="4" tint="-0.249977111117893"/>
      </left>
      <right/>
      <top/>
      <bottom style="thin">
        <color theme="4" tint="-0.249977111117893"/>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style="thin">
        <color indexed="8"/>
      </right>
      <top style="medium">
        <color indexed="8"/>
      </top>
      <bottom style="thin">
        <color indexed="8"/>
      </bottom>
      <diagonal/>
    </border>
    <border>
      <left style="thin">
        <color indexed="8"/>
      </left>
      <right style="thin">
        <color theme="4" tint="-0.249977111117893"/>
      </right>
      <top style="medium">
        <color indexed="8"/>
      </top>
      <bottom style="thin">
        <color indexed="8"/>
      </bottom>
      <diagonal/>
    </border>
    <border>
      <left style="thin">
        <color theme="4" tint="-0.249977111117893"/>
      </left>
      <right style="thin">
        <color theme="4" tint="-0.249977111117893"/>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8"/>
      </left>
      <right style="thin">
        <color auto="1"/>
      </right>
      <top/>
      <bottom style="medium">
        <color indexed="8"/>
      </bottom>
      <diagonal/>
    </border>
    <border>
      <left style="medium">
        <color indexed="8"/>
      </left>
      <right style="thin">
        <color auto="1"/>
      </right>
      <top/>
      <bottom/>
      <diagonal/>
    </border>
    <border>
      <left style="medium">
        <color indexed="8"/>
      </left>
      <right/>
      <top style="medium">
        <color indexed="8"/>
      </top>
      <bottom style="thin">
        <color auto="1"/>
      </bottom>
      <diagonal/>
    </border>
    <border>
      <left style="medium">
        <color indexed="8"/>
      </left>
      <right style="thin">
        <color auto="1"/>
      </right>
      <top/>
      <bottom style="thin">
        <color indexed="8"/>
      </bottom>
      <diagonal/>
    </border>
    <border diagonalDown="1">
      <left style="thin">
        <color theme="4" tint="-0.249977111117893"/>
      </left>
      <right/>
      <top style="thin">
        <color theme="4" tint="-0.249977111117893"/>
      </top>
      <bottom style="thin">
        <color theme="4" tint="-0.249977111117893"/>
      </bottom>
      <diagonal style="thin">
        <color theme="4" tint="-0.249977111117893"/>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medium">
        <color rgb="FF000000"/>
      </left>
      <right style="thin">
        <color auto="1"/>
      </right>
      <top/>
      <bottom/>
      <diagonal/>
    </border>
  </borders>
  <cellStyleXfs count="149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11" borderId="0" applyNumberFormat="0" applyFont="0" applyBorder="0" applyAlignment="0" applyProtection="0"/>
    <xf numFmtId="0" fontId="22" fillId="12" borderId="0" applyNumberFormat="0" applyFont="0" applyBorder="0" applyAlignment="0" applyProtection="0"/>
    <xf numFmtId="0" fontId="22" fillId="13" borderId="0" applyNumberFormat="0" applyFont="0" applyBorder="0" applyAlignment="0" applyProtection="0"/>
    <xf numFmtId="0" fontId="22" fillId="14" borderId="0" applyNumberFormat="0" applyFont="0" applyBorder="0" applyAlignment="0" applyProtection="0"/>
    <xf numFmtId="0" fontId="22" fillId="15" borderId="0" applyNumberFormat="0" applyFont="0" applyBorder="0" applyAlignment="0" applyProtection="0"/>
    <xf numFmtId="0" fontId="22" fillId="16" borderId="0" applyNumberFormat="0" applyFont="0" applyBorder="0" applyAlignment="0" applyProtection="0"/>
    <xf numFmtId="0" fontId="22" fillId="17" borderId="0" applyNumberFormat="0" applyFont="0" applyBorder="0" applyAlignment="0" applyProtection="0"/>
    <xf numFmtId="0" fontId="22" fillId="18" borderId="0" applyNumberFormat="0" applyFont="0" applyBorder="0" applyAlignment="0" applyProtection="0"/>
    <xf numFmtId="0" fontId="22" fillId="19" borderId="0" applyNumberFormat="0" applyFont="0" applyBorder="0" applyAlignment="0" applyProtection="0"/>
    <xf numFmtId="0" fontId="22" fillId="20" borderId="0" applyNumberFormat="0" applyFont="0" applyBorder="0" applyAlignment="0" applyProtection="0"/>
    <xf numFmtId="0" fontId="22" fillId="21" borderId="0" applyNumberFormat="0" applyFont="0" applyBorder="0" applyAlignment="0" applyProtection="0"/>
    <xf numFmtId="0" fontId="22" fillId="22" borderId="0" applyNumberFormat="0" applyFont="0" applyBorder="0" applyAlignment="0" applyProtection="0"/>
    <xf numFmtId="0" fontId="25" fillId="0" borderId="0" applyNumberFormat="0" applyBorder="0" applyAlignment="0" applyProtection="0"/>
    <xf numFmtId="0" fontId="22" fillId="23" borderId="0" applyNumberFormat="0" applyFont="0" applyBorder="0" applyAlignment="0" applyProtection="0"/>
    <xf numFmtId="0" fontId="22" fillId="24" borderId="0" applyNumberFormat="0" applyFont="0" applyBorder="0" applyAlignment="0" applyProtection="0"/>
    <xf numFmtId="0" fontId="22" fillId="22" borderId="0" applyNumberFormat="0" applyFont="0" applyBorder="0" applyAlignment="0" applyProtection="0"/>
    <xf numFmtId="0" fontId="22" fillId="25" borderId="0" applyNumberFormat="0" applyFont="0" applyBorder="0" applyAlignment="0" applyProtection="0"/>
    <xf numFmtId="0" fontId="22" fillId="26" borderId="0" applyNumberFormat="0" applyFont="0" applyBorder="0" applyAlignment="0" applyProtection="0"/>
    <xf numFmtId="0" fontId="22" fillId="27" borderId="0" applyNumberFormat="0" applyFont="0" applyBorder="0" applyAlignment="0" applyProtection="0"/>
    <xf numFmtId="0" fontId="22" fillId="28" borderId="0" applyNumberFormat="0" applyFont="0" applyBorder="0" applyAlignment="0" applyProtection="0"/>
    <xf numFmtId="0" fontId="22" fillId="29" borderId="0" applyNumberFormat="0" applyFon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2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08">
    <xf numFmtId="0" fontId="0" fillId="0" borderId="0" xfId="0"/>
    <xf numFmtId="0" fontId="0" fillId="0" borderId="0" xfId="0" applyProtection="1">
      <protection hidden="1"/>
    </xf>
    <xf numFmtId="0" fontId="0" fillId="0" borderId="0" xfId="0" applyFill="1" applyProtection="1">
      <protection hidden="1"/>
    </xf>
    <xf numFmtId="0" fontId="0" fillId="0" borderId="0" xfId="0" applyFill="1" applyAlignment="1" applyProtection="1">
      <alignment vertical="center"/>
      <protection hidden="1"/>
    </xf>
    <xf numFmtId="0" fontId="3" fillId="0" borderId="0" xfId="0" applyFont="1" applyAlignment="1" applyProtection="1">
      <alignment horizontal="center"/>
      <protection hidden="1"/>
    </xf>
    <xf numFmtId="0" fontId="6" fillId="0" borderId="0" xfId="0" applyFont="1" applyProtection="1">
      <protection hidden="1"/>
    </xf>
    <xf numFmtId="0" fontId="3" fillId="2" borderId="7"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0" borderId="9" xfId="0" applyFont="1" applyBorder="1" applyAlignment="1" applyProtection="1">
      <alignment horizontal="center"/>
      <protection hidden="1"/>
    </xf>
    <xf numFmtId="14" fontId="6" fillId="0" borderId="1" xfId="0" applyNumberFormat="1" applyFont="1" applyBorder="1" applyAlignment="1" applyProtection="1">
      <protection hidden="1"/>
    </xf>
    <xf numFmtId="165" fontId="6" fillId="0" borderId="1" xfId="0" applyNumberFormat="1" applyFont="1" applyBorder="1" applyAlignment="1" applyProtection="1">
      <alignment horizontal="center"/>
      <protection hidden="1"/>
    </xf>
    <xf numFmtId="0" fontId="6" fillId="0" borderId="14" xfId="0" applyFont="1" applyBorder="1" applyProtection="1">
      <protection hidden="1"/>
    </xf>
    <xf numFmtId="0" fontId="6" fillId="0" borderId="18" xfId="0" applyFont="1" applyBorder="1" applyProtection="1">
      <protection hidden="1"/>
    </xf>
    <xf numFmtId="14" fontId="6" fillId="0" borderId="1" xfId="0" applyNumberFormat="1" applyFont="1" applyBorder="1" applyProtection="1">
      <protection hidden="1"/>
    </xf>
    <xf numFmtId="14" fontId="6" fillId="0" borderId="12" xfId="0" applyNumberFormat="1" applyFont="1" applyBorder="1" applyProtection="1">
      <protection hidden="1"/>
    </xf>
    <xf numFmtId="165" fontId="6" fillId="0" borderId="12" xfId="0" applyNumberFormat="1" applyFont="1" applyBorder="1" applyAlignment="1" applyProtection="1">
      <alignment horizontal="center"/>
      <protection hidden="1"/>
    </xf>
    <xf numFmtId="0" fontId="3" fillId="5" borderId="8" xfId="0" applyFont="1" applyFill="1" applyBorder="1" applyAlignment="1" applyProtection="1">
      <alignment horizontal="center"/>
      <protection hidden="1"/>
    </xf>
    <xf numFmtId="0" fontId="3" fillId="0" borderId="10"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9" fillId="0" borderId="0" xfId="0" applyFont="1" applyFill="1" applyProtection="1">
      <protection hidden="1"/>
    </xf>
    <xf numFmtId="0" fontId="0" fillId="0" borderId="0" xfId="0" applyFill="1" applyAlignment="1" applyProtection="1">
      <alignment horizontal="center" vertical="center"/>
      <protection hidden="1"/>
    </xf>
    <xf numFmtId="0" fontId="0" fillId="0" borderId="0" xfId="0" applyFont="1" applyFill="1" applyProtection="1">
      <protection hidden="1"/>
    </xf>
    <xf numFmtId="0" fontId="0" fillId="0" borderId="0" xfId="0" applyAlignment="1" applyProtection="1">
      <alignment horizontal="center"/>
      <protection hidden="1"/>
    </xf>
    <xf numFmtId="0" fontId="10" fillId="0" borderId="0" xfId="0" applyFont="1" applyFill="1" applyAlignment="1" applyProtection="1">
      <alignment horizontal="center"/>
      <protection hidden="1"/>
    </xf>
    <xf numFmtId="0" fontId="16" fillId="0" borderId="0" xfId="0" applyFont="1" applyFill="1" applyAlignment="1" applyProtection="1">
      <alignment horizontal="right" vertical="center"/>
      <protection hidden="1"/>
    </xf>
    <xf numFmtId="0" fontId="17" fillId="0" borderId="0" xfId="0" applyNumberFormat="1" applyFont="1" applyFill="1" applyAlignment="1" applyProtection="1">
      <alignment horizontal="right" vertical="center"/>
      <protection hidden="1"/>
    </xf>
    <xf numFmtId="0" fontId="0" fillId="4" borderId="0" xfId="0" applyFill="1" applyBorder="1" applyProtection="1">
      <protection hidden="1"/>
    </xf>
    <xf numFmtId="0" fontId="9" fillId="4" borderId="0" xfId="0" applyFont="1" applyFill="1" applyBorder="1" applyProtection="1">
      <protection hidden="1"/>
    </xf>
    <xf numFmtId="0" fontId="0" fillId="4" borderId="0" xfId="0" applyFill="1" applyBorder="1" applyAlignment="1" applyProtection="1">
      <alignment horizontal="center" vertical="center"/>
      <protection hidden="1"/>
    </xf>
    <xf numFmtId="0" fontId="0" fillId="4" borderId="0" xfId="0" applyFont="1" applyFill="1" applyBorder="1" applyProtection="1">
      <protection hidden="1"/>
    </xf>
    <xf numFmtId="0" fontId="10" fillId="4" borderId="0" xfId="0" applyFont="1" applyFill="1" applyBorder="1" applyAlignment="1" applyProtection="1">
      <alignment horizontal="center"/>
      <protection hidden="1"/>
    </xf>
    <xf numFmtId="0" fontId="0" fillId="4" borderId="29" xfId="0" applyFill="1" applyBorder="1" applyProtection="1">
      <protection hidden="1"/>
    </xf>
    <xf numFmtId="0" fontId="13" fillId="4" borderId="29" xfId="0" applyFont="1" applyFill="1" applyBorder="1" applyAlignment="1" applyProtection="1">
      <alignment vertical="top"/>
      <protection hidden="1"/>
    </xf>
    <xf numFmtId="0" fontId="6" fillId="4" borderId="24" xfId="0" applyFont="1" applyFill="1" applyBorder="1" applyAlignment="1" applyProtection="1">
      <alignment vertical="center"/>
      <protection hidden="1"/>
    </xf>
    <xf numFmtId="0" fontId="6" fillId="4" borderId="13" xfId="0" applyFont="1" applyFill="1" applyBorder="1" applyAlignment="1" applyProtection="1">
      <alignment vertical="center"/>
      <protection hidden="1"/>
    </xf>
    <xf numFmtId="0" fontId="14" fillId="4" borderId="0" xfId="0" applyFont="1" applyFill="1" applyBorder="1" applyAlignment="1" applyProtection="1">
      <alignment horizontal="left" vertical="center" indent="1"/>
      <protection hidden="1"/>
    </xf>
    <xf numFmtId="0" fontId="15" fillId="4" borderId="0" xfId="0" applyFont="1" applyFill="1" applyBorder="1" applyAlignment="1" applyProtection="1">
      <alignment horizontal="center" vertical="center"/>
      <protection hidden="1"/>
    </xf>
    <xf numFmtId="0" fontId="6" fillId="4" borderId="0" xfId="0" applyFont="1" applyFill="1" applyBorder="1" applyAlignment="1" applyProtection="1">
      <alignment vertical="center"/>
      <protection hidden="1"/>
    </xf>
    <xf numFmtId="0" fontId="0" fillId="4" borderId="0" xfId="0" applyFill="1" applyBorder="1" applyAlignment="1" applyProtection="1">
      <alignment vertical="center"/>
      <protection hidden="1"/>
    </xf>
    <xf numFmtId="0" fontId="9" fillId="4" borderId="0" xfId="0" applyFont="1" applyFill="1" applyBorder="1" applyAlignment="1" applyProtection="1">
      <alignment horizontal="center" vertical="center"/>
      <protection hidden="1"/>
    </xf>
    <xf numFmtId="164" fontId="9" fillId="4" borderId="0" xfId="0" applyNumberFormat="1" applyFont="1" applyFill="1" applyBorder="1" applyAlignment="1" applyProtection="1">
      <alignment vertical="center"/>
      <protection hidden="1"/>
    </xf>
    <xf numFmtId="164" fontId="8" fillId="4" borderId="0" xfId="0" applyNumberFormat="1" applyFont="1" applyFill="1" applyBorder="1" applyAlignment="1" applyProtection="1">
      <alignment horizontal="center" vertical="center"/>
      <protection hidden="1"/>
    </xf>
    <xf numFmtId="0" fontId="0" fillId="4" borderId="0" xfId="0" applyFont="1" applyFill="1" applyBorder="1" applyAlignment="1" applyProtection="1">
      <alignment vertical="center"/>
      <protection hidden="1"/>
    </xf>
    <xf numFmtId="0" fontId="0" fillId="4" borderId="0" xfId="0" applyFont="1" applyFill="1" applyBorder="1" applyAlignment="1" applyProtection="1">
      <alignment horizontal="center" vertical="center"/>
      <protection hidden="1"/>
    </xf>
    <xf numFmtId="0" fontId="8" fillId="4" borderId="0" xfId="0" applyFont="1" applyFill="1" applyBorder="1" applyAlignment="1" applyProtection="1">
      <alignment vertical="center"/>
      <protection hidden="1"/>
    </xf>
    <xf numFmtId="0" fontId="10"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right" vertical="center"/>
      <protection hidden="1"/>
    </xf>
    <xf numFmtId="164" fontId="16" fillId="4" borderId="0" xfId="0" applyNumberFormat="1" applyFont="1" applyFill="1" applyBorder="1" applyAlignment="1" applyProtection="1">
      <alignment horizontal="right" vertical="center"/>
      <protection hidden="1"/>
    </xf>
    <xf numFmtId="0" fontId="16" fillId="4" borderId="25" xfId="0" applyNumberFormat="1" applyFont="1" applyFill="1" applyBorder="1" applyAlignment="1" applyProtection="1">
      <alignment horizontal="right" vertical="center"/>
      <protection hidden="1"/>
    </xf>
    <xf numFmtId="0" fontId="16" fillId="4" borderId="26" xfId="0" applyNumberFormat="1" applyFont="1" applyFill="1" applyBorder="1" applyAlignment="1" applyProtection="1">
      <alignment horizontal="right" vertical="center"/>
      <protection hidden="1"/>
    </xf>
    <xf numFmtId="0" fontId="0" fillId="4" borderId="13" xfId="0" applyFont="1" applyFill="1" applyBorder="1" applyAlignment="1" applyProtection="1">
      <alignment vertical="center"/>
      <protection hidden="1"/>
    </xf>
    <xf numFmtId="0" fontId="0" fillId="4" borderId="0" xfId="0" applyFill="1" applyProtection="1">
      <protection hidden="1"/>
    </xf>
    <xf numFmtId="0" fontId="0" fillId="4" borderId="0" xfId="0" applyFill="1" applyAlignment="1" applyProtection="1">
      <alignment horizontal="center"/>
      <protection hidden="1"/>
    </xf>
    <xf numFmtId="166" fontId="6" fillId="0" borderId="0" xfId="0" applyNumberFormat="1" applyFont="1" applyProtection="1">
      <protection hidden="1"/>
    </xf>
    <xf numFmtId="167" fontId="6" fillId="6" borderId="31" xfId="0" applyNumberFormat="1" applyFont="1" applyFill="1" applyBorder="1" applyAlignment="1" applyProtection="1">
      <alignment horizontal="left" vertical="center" indent="1"/>
      <protection hidden="1"/>
    </xf>
    <xf numFmtId="0" fontId="6" fillId="0" borderId="1" xfId="0" applyFont="1" applyBorder="1" applyProtection="1">
      <protection hidden="1"/>
    </xf>
    <xf numFmtId="0" fontId="6" fillId="0" borderId="4" xfId="0" applyFont="1" applyBorder="1" applyProtection="1">
      <protection hidden="1"/>
    </xf>
    <xf numFmtId="167" fontId="6" fillId="6" borderId="30" xfId="0" applyNumberFormat="1" applyFont="1" applyFill="1" applyBorder="1" applyAlignment="1" applyProtection="1">
      <alignment horizontal="left" vertical="center" indent="1"/>
      <protection hidden="1"/>
    </xf>
    <xf numFmtId="0" fontId="6" fillId="6" borderId="12" xfId="0" applyFont="1" applyFill="1" applyBorder="1" applyAlignment="1" applyProtection="1">
      <alignment horizontal="left" vertical="center" indent="1"/>
      <protection hidden="1"/>
    </xf>
    <xf numFmtId="167" fontId="6" fillId="6" borderId="12" xfId="0" applyNumberFormat="1" applyFont="1" applyFill="1" applyBorder="1" applyAlignment="1" applyProtection="1">
      <alignment horizontal="left" vertical="center" indent="1"/>
      <protection hidden="1"/>
    </xf>
    <xf numFmtId="0" fontId="6" fillId="6" borderId="13" xfId="0" applyFont="1" applyFill="1" applyBorder="1" applyAlignment="1" applyProtection="1">
      <alignment horizontal="left" vertical="center" indent="1"/>
      <protection hidden="1"/>
    </xf>
    <xf numFmtId="167" fontId="6" fillId="6" borderId="13" xfId="0" applyNumberFormat="1" applyFont="1" applyFill="1" applyBorder="1" applyAlignment="1" applyProtection="1">
      <alignment horizontal="left" vertical="center" indent="1"/>
      <protection hidden="1"/>
    </xf>
    <xf numFmtId="167" fontId="6" fillId="6" borderId="23" xfId="0" applyNumberFormat="1" applyFont="1" applyFill="1" applyBorder="1" applyAlignment="1" applyProtection="1">
      <alignment horizontal="left" vertical="center" indent="1"/>
      <protection hidden="1"/>
    </xf>
    <xf numFmtId="0" fontId="0" fillId="6" borderId="22" xfId="0" applyFill="1" applyBorder="1" applyProtection="1">
      <protection hidden="1"/>
    </xf>
    <xf numFmtId="0" fontId="0" fillId="6" borderId="32" xfId="0" applyFill="1" applyBorder="1" applyProtection="1">
      <protection hidden="1"/>
    </xf>
    <xf numFmtId="14" fontId="6" fillId="0" borderId="12" xfId="0" applyNumberFormat="1" applyFont="1" applyBorder="1" applyAlignment="1" applyProtection="1">
      <protection hidden="1"/>
    </xf>
    <xf numFmtId="0" fontId="6" fillId="0" borderId="30" xfId="0" applyFont="1" applyBorder="1" applyProtection="1">
      <protection hidden="1"/>
    </xf>
    <xf numFmtId="0" fontId="3" fillId="5" borderId="33" xfId="0" applyFont="1" applyFill="1" applyBorder="1" applyAlignment="1" applyProtection="1">
      <alignment horizontal="center"/>
      <protection hidden="1"/>
    </xf>
    <xf numFmtId="14" fontId="6" fillId="0" borderId="2" xfId="0" applyNumberFormat="1" applyFont="1" applyFill="1" applyBorder="1" applyAlignment="1" applyProtection="1">
      <protection hidden="1"/>
    </xf>
    <xf numFmtId="165" fontId="6" fillId="0" borderId="2" xfId="0" applyNumberFormat="1" applyFont="1" applyFill="1" applyBorder="1" applyAlignment="1" applyProtection="1">
      <alignment horizontal="center"/>
      <protection hidden="1"/>
    </xf>
    <xf numFmtId="0" fontId="6" fillId="0" borderId="2" xfId="0" applyFont="1" applyFill="1" applyBorder="1" applyProtection="1">
      <protection hidden="1"/>
    </xf>
    <xf numFmtId="0" fontId="6" fillId="0" borderId="3" xfId="0" applyFont="1" applyFill="1" applyBorder="1" applyProtection="1">
      <protection hidden="1"/>
    </xf>
    <xf numFmtId="168" fontId="0" fillId="0" borderId="0" xfId="0" applyNumberFormat="1" applyProtection="1">
      <protection hidden="1"/>
    </xf>
    <xf numFmtId="169" fontId="6" fillId="0" borderId="13" xfId="0" applyNumberFormat="1" applyFont="1" applyFill="1" applyBorder="1" applyAlignment="1" applyProtection="1">
      <alignment vertical="center"/>
      <protection locked="0"/>
    </xf>
    <xf numFmtId="169" fontId="6" fillId="0" borderId="22" xfId="0" applyNumberFormat="1" applyFont="1" applyFill="1" applyBorder="1" applyAlignment="1" applyProtection="1">
      <alignment vertical="center"/>
      <protection locked="0"/>
    </xf>
    <xf numFmtId="165" fontId="6" fillId="0" borderId="5" xfId="0" applyNumberFormat="1" applyFont="1" applyBorder="1" applyAlignment="1" applyProtection="1">
      <alignment horizontal="center"/>
      <protection hidden="1"/>
    </xf>
    <xf numFmtId="0" fontId="6" fillId="0" borderId="6" xfId="0" applyFont="1" applyBorder="1" applyProtection="1">
      <protection hidden="1"/>
    </xf>
    <xf numFmtId="14" fontId="6" fillId="0" borderId="2" xfId="0" applyNumberFormat="1" applyFont="1" applyBorder="1" applyAlignment="1" applyProtection="1">
      <protection hidden="1"/>
    </xf>
    <xf numFmtId="165" fontId="6" fillId="0" borderId="2" xfId="0" applyNumberFormat="1" applyFont="1" applyBorder="1" applyAlignment="1" applyProtection="1">
      <alignment horizontal="center"/>
      <protection hidden="1"/>
    </xf>
    <xf numFmtId="0" fontId="6" fillId="0" borderId="3" xfId="0" applyFont="1" applyBorder="1" applyProtection="1">
      <protection hidden="1"/>
    </xf>
    <xf numFmtId="0" fontId="6" fillId="0" borderId="5" xfId="0" applyFont="1" applyBorder="1" applyProtection="1">
      <protection hidden="1"/>
    </xf>
    <xf numFmtId="165" fontId="6" fillId="0" borderId="2" xfId="0" applyNumberFormat="1" applyFont="1" applyBorder="1" applyAlignment="1" applyProtection="1">
      <protection hidden="1"/>
    </xf>
    <xf numFmtId="14" fontId="6" fillId="0" borderId="5" xfId="0" applyNumberFormat="1" applyFont="1" applyBorder="1" applyAlignment="1" applyProtection="1">
      <protection hidden="1"/>
    </xf>
    <xf numFmtId="165" fontId="6" fillId="0" borderId="1" xfId="0" applyNumberFormat="1" applyFont="1" applyBorder="1" applyAlignment="1" applyProtection="1">
      <protection hidden="1"/>
    </xf>
    <xf numFmtId="165" fontId="6" fillId="0" borderId="5" xfId="0" applyNumberFormat="1" applyFont="1" applyBorder="1" applyAlignment="1" applyProtection="1">
      <protection hidden="1"/>
    </xf>
    <xf numFmtId="0" fontId="11" fillId="8" borderId="18" xfId="0" applyFont="1" applyFill="1" applyBorder="1" applyAlignment="1" applyProtection="1">
      <alignment vertical="center"/>
      <protection hidden="1"/>
    </xf>
    <xf numFmtId="0" fontId="11" fillId="8" borderId="34" xfId="0" applyFont="1" applyFill="1" applyBorder="1" applyAlignment="1" applyProtection="1">
      <alignment vertical="center"/>
      <protection hidden="1"/>
    </xf>
    <xf numFmtId="0" fontId="18" fillId="4" borderId="9" xfId="0" applyFont="1" applyFill="1" applyBorder="1" applyAlignment="1" applyProtection="1">
      <alignment horizontal="left" vertical="center"/>
      <protection hidden="1"/>
    </xf>
    <xf numFmtId="166" fontId="18" fillId="4" borderId="0" xfId="0" applyNumberFormat="1" applyFont="1" applyFill="1" applyBorder="1" applyAlignment="1" applyProtection="1">
      <alignment vertical="center"/>
      <protection hidden="1"/>
    </xf>
    <xf numFmtId="0" fontId="6" fillId="9" borderId="1" xfId="0" applyFont="1" applyFill="1" applyBorder="1" applyAlignment="1" applyProtection="1">
      <alignment horizontal="center" vertical="center"/>
      <protection locked="0" hidden="1"/>
    </xf>
    <xf numFmtId="0" fontId="6" fillId="8" borderId="35" xfId="0" applyFont="1" applyFill="1" applyBorder="1" applyAlignment="1" applyProtection="1">
      <alignment vertical="center"/>
      <protection hidden="1"/>
    </xf>
    <xf numFmtId="0" fontId="6" fillId="8" borderId="40" xfId="0" applyFont="1" applyFill="1" applyBorder="1" applyAlignment="1" applyProtection="1">
      <alignment vertical="center"/>
      <protection hidden="1"/>
    </xf>
    <xf numFmtId="0" fontId="6" fillId="4" borderId="0" xfId="0" applyFont="1" applyFill="1" applyProtection="1">
      <protection hidden="1"/>
    </xf>
    <xf numFmtId="0" fontId="6" fillId="4" borderId="0" xfId="0" applyFont="1" applyFill="1" applyBorder="1" applyProtection="1">
      <protection hidden="1"/>
    </xf>
    <xf numFmtId="0" fontId="40" fillId="4" borderId="0" xfId="0" applyFont="1" applyFill="1" applyProtection="1">
      <protection hidden="1"/>
    </xf>
    <xf numFmtId="0" fontId="0" fillId="0" borderId="0" xfId="0" applyAlignment="1" applyProtection="1">
      <alignment horizontal="left"/>
      <protection hidden="1"/>
    </xf>
    <xf numFmtId="0" fontId="8" fillId="0" borderId="0" xfId="0" applyFont="1" applyAlignment="1" applyProtection="1">
      <alignment horizontal="left"/>
      <protection hidden="1"/>
    </xf>
    <xf numFmtId="0" fontId="24" fillId="0" borderId="0" xfId="0" applyFont="1" applyProtection="1">
      <protection hidden="1"/>
    </xf>
    <xf numFmtId="0" fontId="31" fillId="0" borderId="0" xfId="0" applyFont="1" applyProtection="1">
      <protection hidden="1"/>
    </xf>
    <xf numFmtId="0" fontId="8" fillId="0" borderId="0" xfId="0" applyFont="1" applyProtection="1">
      <protection hidden="1"/>
    </xf>
    <xf numFmtId="0" fontId="8" fillId="30" borderId="0" xfId="0" applyFont="1" applyFill="1" applyBorder="1" applyProtection="1">
      <protection hidden="1"/>
    </xf>
    <xf numFmtId="0" fontId="8" fillId="30" borderId="0" xfId="0" applyFont="1" applyFill="1" applyBorder="1" applyAlignment="1" applyProtection="1">
      <alignment horizontal="center"/>
      <protection hidden="1"/>
    </xf>
    <xf numFmtId="0" fontId="36" fillId="30" borderId="0" xfId="0" applyFont="1" applyFill="1" applyBorder="1" applyProtection="1">
      <protection hidden="1"/>
    </xf>
    <xf numFmtId="0" fontId="35" fillId="0" borderId="0" xfId="0" applyFont="1" applyProtection="1">
      <protection hidden="1"/>
    </xf>
    <xf numFmtId="0" fontId="28" fillId="0" borderId="0" xfId="0" applyFont="1" applyProtection="1">
      <protection hidden="1"/>
    </xf>
    <xf numFmtId="0" fontId="36" fillId="30" borderId="0" xfId="0" applyFont="1" applyFill="1" applyBorder="1" applyAlignment="1" applyProtection="1">
      <alignment horizontal="left" vertical="top"/>
      <protection hidden="1"/>
    </xf>
    <xf numFmtId="0" fontId="36" fillId="30" borderId="0" xfId="0" applyFont="1" applyFill="1" applyBorder="1" applyAlignment="1" applyProtection="1">
      <alignment horizontal="left" vertical="top" wrapText="1"/>
      <protection hidden="1"/>
    </xf>
    <xf numFmtId="0" fontId="37" fillId="0" borderId="0" xfId="0" applyFont="1" applyAlignment="1" applyProtection="1">
      <alignment horizontal="left" vertical="top"/>
      <protection hidden="1"/>
    </xf>
    <xf numFmtId="0" fontId="33" fillId="30" borderId="0" xfId="0" applyFont="1" applyFill="1" applyBorder="1" applyProtection="1">
      <protection hidden="1"/>
    </xf>
    <xf numFmtId="0" fontId="0" fillId="4" borderId="18" xfId="0" applyFill="1" applyBorder="1" applyProtection="1">
      <protection hidden="1"/>
    </xf>
    <xf numFmtId="0" fontId="8" fillId="4" borderId="34" xfId="0" applyFont="1" applyFill="1" applyBorder="1" applyProtection="1">
      <protection hidden="1"/>
    </xf>
    <xf numFmtId="0" fontId="0" fillId="4" borderId="34" xfId="0" applyFill="1" applyBorder="1" applyProtection="1">
      <protection hidden="1"/>
    </xf>
    <xf numFmtId="0" fontId="0" fillId="4" borderId="36" xfId="0" applyFill="1" applyBorder="1" applyProtection="1">
      <protection hidden="1"/>
    </xf>
    <xf numFmtId="0" fontId="0" fillId="4" borderId="37" xfId="0" applyFill="1" applyBorder="1" applyProtection="1">
      <protection hidden="1"/>
    </xf>
    <xf numFmtId="0" fontId="8" fillId="4" borderId="0" xfId="0" applyFont="1" applyFill="1" applyBorder="1" applyProtection="1">
      <protection hidden="1"/>
    </xf>
    <xf numFmtId="171" fontId="27" fillId="4" borderId="0" xfId="0" applyNumberFormat="1" applyFont="1" applyFill="1" applyBorder="1" applyAlignment="1" applyProtection="1">
      <alignment horizontal="left" indent="1"/>
      <protection hidden="1"/>
    </xf>
    <xf numFmtId="171" fontId="30" fillId="4" borderId="0" xfId="0" applyNumberFormat="1" applyFont="1" applyFill="1" applyBorder="1" applyAlignment="1" applyProtection="1">
      <alignment horizontal="left" indent="1"/>
      <protection hidden="1"/>
    </xf>
    <xf numFmtId="171" fontId="23" fillId="4" borderId="0" xfId="0" applyNumberFormat="1" applyFont="1" applyFill="1" applyBorder="1" applyAlignment="1" applyProtection="1">
      <alignment horizontal="left"/>
      <protection hidden="1"/>
    </xf>
    <xf numFmtId="171" fontId="32" fillId="4" borderId="0" xfId="0" applyNumberFormat="1" applyFont="1" applyFill="1" applyBorder="1" applyAlignment="1" applyProtection="1">
      <alignment horizontal="left"/>
      <protection hidden="1"/>
    </xf>
    <xf numFmtId="0" fontId="26" fillId="4" borderId="0" xfId="0" applyFont="1" applyFill="1" applyBorder="1" applyProtection="1">
      <protection hidden="1"/>
    </xf>
    <xf numFmtId="0" fontId="0" fillId="4" borderId="24" xfId="0" applyFill="1" applyBorder="1" applyProtection="1">
      <protection hidden="1"/>
    </xf>
    <xf numFmtId="0" fontId="12" fillId="4" borderId="24" xfId="0" applyFont="1" applyFill="1" applyBorder="1" applyAlignment="1" applyProtection="1">
      <alignment vertical="center"/>
      <protection hidden="1"/>
    </xf>
    <xf numFmtId="0" fontId="35" fillId="4" borderId="24" xfId="0" applyFont="1" applyFill="1" applyBorder="1" applyProtection="1">
      <protection hidden="1"/>
    </xf>
    <xf numFmtId="0" fontId="28" fillId="4" borderId="24" xfId="0" applyFont="1" applyFill="1" applyBorder="1" applyProtection="1">
      <protection hidden="1"/>
    </xf>
    <xf numFmtId="0" fontId="37" fillId="4" borderId="24" xfId="0" applyFont="1" applyFill="1" applyBorder="1" applyAlignment="1" applyProtection="1">
      <alignment horizontal="left" vertical="top"/>
      <protection hidden="1"/>
    </xf>
    <xf numFmtId="0" fontId="0" fillId="4" borderId="26" xfId="0" applyFill="1" applyBorder="1" applyProtection="1">
      <protection hidden="1"/>
    </xf>
    <xf numFmtId="0" fontId="35" fillId="4" borderId="37" xfId="0" applyFont="1" applyFill="1" applyBorder="1" applyProtection="1">
      <protection hidden="1"/>
    </xf>
    <xf numFmtId="0" fontId="28" fillId="4" borderId="37" xfId="0" applyFont="1" applyFill="1" applyBorder="1" applyProtection="1">
      <protection hidden="1"/>
    </xf>
    <xf numFmtId="0" fontId="37" fillId="4" borderId="37" xfId="0" applyFont="1" applyFill="1" applyBorder="1" applyAlignment="1" applyProtection="1">
      <alignment horizontal="left" vertical="top"/>
      <protection hidden="1"/>
    </xf>
    <xf numFmtId="0" fontId="0" fillId="4" borderId="38" xfId="0" applyFill="1" applyBorder="1" applyProtection="1">
      <protection hidden="1"/>
    </xf>
    <xf numFmtId="0" fontId="8" fillId="4" borderId="25" xfId="0" applyFont="1" applyFill="1" applyBorder="1" applyProtection="1">
      <protection hidden="1"/>
    </xf>
    <xf numFmtId="0" fontId="0" fillId="4" borderId="25" xfId="0" applyFill="1" applyBorder="1" applyProtection="1">
      <protection hidden="1"/>
    </xf>
    <xf numFmtId="0" fontId="0" fillId="4" borderId="0" xfId="0" applyFill="1" applyBorder="1" applyAlignment="1" applyProtection="1">
      <alignment vertical="top" wrapText="1"/>
      <protection hidden="1"/>
    </xf>
    <xf numFmtId="0" fontId="8" fillId="4" borderId="0" xfId="0" applyFont="1" applyFill="1" applyBorder="1" applyAlignment="1" applyProtection="1">
      <alignment vertical="top" wrapText="1"/>
      <protection hidden="1"/>
    </xf>
    <xf numFmtId="0" fontId="9" fillId="4" borderId="0" xfId="0" applyFont="1" applyFill="1" applyBorder="1" applyAlignment="1" applyProtection="1">
      <alignment horizontal="center"/>
      <protection hidden="1"/>
    </xf>
    <xf numFmtId="164" fontId="34" fillId="4" borderId="0" xfId="0" applyNumberFormat="1" applyFont="1" applyFill="1" applyBorder="1" applyAlignment="1" applyProtection="1">
      <alignment horizontal="left"/>
      <protection hidden="1"/>
    </xf>
    <xf numFmtId="164" fontId="29" fillId="4" borderId="0" xfId="0" applyNumberFormat="1" applyFont="1" applyFill="1" applyBorder="1" applyAlignment="1" applyProtection="1">
      <alignment horizontal="left"/>
      <protection hidden="1"/>
    </xf>
    <xf numFmtId="0" fontId="37" fillId="4" borderId="0" xfId="0" applyFont="1" applyFill="1" applyBorder="1" applyAlignment="1" applyProtection="1">
      <alignment horizontal="left" vertical="top" wrapText="1"/>
      <protection hidden="1"/>
    </xf>
    <xf numFmtId="0" fontId="8" fillId="4" borderId="0" xfId="0" applyFont="1" applyFill="1" applyBorder="1" applyAlignment="1" applyProtection="1">
      <alignment horizontal="center"/>
      <protection hidden="1"/>
    </xf>
    <xf numFmtId="0" fontId="42" fillId="4" borderId="44" xfId="0" applyFont="1" applyFill="1" applyBorder="1" applyAlignment="1" applyProtection="1">
      <alignment vertical="center"/>
      <protection hidden="1"/>
    </xf>
    <xf numFmtId="0" fontId="42" fillId="4" borderId="45" xfId="0" applyFont="1" applyFill="1" applyBorder="1" applyAlignment="1" applyProtection="1">
      <alignment vertical="center"/>
      <protection hidden="1"/>
    </xf>
    <xf numFmtId="14" fontId="6" fillId="0" borderId="0" xfId="0" applyNumberFormat="1" applyFont="1" applyProtection="1">
      <protection hidden="1"/>
    </xf>
    <xf numFmtId="172" fontId="6" fillId="0" borderId="0" xfId="0" applyNumberFormat="1" applyFont="1" applyProtection="1">
      <protection hidden="1"/>
    </xf>
    <xf numFmtId="171" fontId="39" fillId="4" borderId="0" xfId="0" applyNumberFormat="1" applyFont="1" applyFill="1" applyBorder="1" applyAlignment="1" applyProtection="1">
      <alignment horizontal="left" vertical="top"/>
      <protection hidden="1"/>
    </xf>
    <xf numFmtId="0" fontId="37" fillId="4" borderId="37" xfId="0" applyFont="1" applyFill="1" applyBorder="1" applyAlignment="1" applyProtection="1">
      <alignment vertical="center"/>
      <protection hidden="1"/>
    </xf>
    <xf numFmtId="0" fontId="36" fillId="30" borderId="0" xfId="0" applyFont="1" applyFill="1" applyBorder="1" applyAlignment="1" applyProtection="1">
      <alignment vertical="center"/>
      <protection hidden="1"/>
    </xf>
    <xf numFmtId="0" fontId="37" fillId="4" borderId="0" xfId="0" applyFont="1" applyFill="1" applyBorder="1" applyAlignment="1" applyProtection="1">
      <alignment vertical="center"/>
      <protection hidden="1"/>
    </xf>
    <xf numFmtId="0" fontId="37" fillId="4" borderId="24" xfId="0" applyFont="1" applyFill="1" applyBorder="1" applyAlignment="1" applyProtection="1">
      <alignment vertical="center"/>
      <protection hidden="1"/>
    </xf>
    <xf numFmtId="0" fontId="37" fillId="0" borderId="0" xfId="0" applyFont="1" applyAlignment="1" applyProtection="1">
      <alignment vertical="center"/>
      <protection hidden="1"/>
    </xf>
    <xf numFmtId="0" fontId="0" fillId="4" borderId="37" xfId="0" applyFont="1" applyFill="1" applyBorder="1" applyAlignment="1" applyProtection="1">
      <alignment vertical="center"/>
      <protection hidden="1"/>
    </xf>
    <xf numFmtId="0" fontId="8" fillId="30" borderId="0" xfId="0" applyFont="1" applyFill="1" applyBorder="1" applyAlignment="1" applyProtection="1">
      <alignment vertical="center"/>
      <protection hidden="1"/>
    </xf>
    <xf numFmtId="0" fontId="0" fillId="4" borderId="24" xfId="0" applyFont="1" applyFill="1" applyBorder="1" applyAlignment="1" applyProtection="1">
      <alignment vertical="center"/>
      <protection hidden="1"/>
    </xf>
    <xf numFmtId="0" fontId="0" fillId="0" borderId="0" xfId="0" applyFont="1" applyAlignment="1" applyProtection="1">
      <alignment vertical="center"/>
      <protection hidden="1"/>
    </xf>
    <xf numFmtId="171" fontId="43" fillId="4" borderId="0" xfId="0" applyNumberFormat="1" applyFont="1" applyFill="1" applyBorder="1" applyAlignment="1" applyProtection="1">
      <alignment horizontal="left" indent="1"/>
      <protection hidden="1"/>
    </xf>
    <xf numFmtId="0" fontId="0" fillId="0" borderId="0" xfId="0" applyFont="1"/>
    <xf numFmtId="0" fontId="44" fillId="4" borderId="0" xfId="0" applyFont="1" applyFill="1" applyBorder="1" applyAlignment="1" applyProtection="1">
      <alignment horizontal="center" vertical="center"/>
      <protection hidden="1"/>
    </xf>
    <xf numFmtId="164" fontId="44" fillId="4" borderId="0" xfId="0" applyNumberFormat="1" applyFont="1" applyFill="1" applyBorder="1" applyAlignment="1" applyProtection="1">
      <alignment vertical="center"/>
      <protection hidden="1"/>
    </xf>
    <xf numFmtId="0" fontId="45" fillId="4" borderId="0" xfId="0" applyFont="1" applyFill="1" applyBorder="1" applyAlignment="1" applyProtection="1">
      <alignment horizontal="right" vertical="center"/>
      <protection hidden="1"/>
    </xf>
    <xf numFmtId="164" fontId="45" fillId="4" borderId="0" xfId="0" applyNumberFormat="1" applyFont="1" applyFill="1" applyBorder="1" applyAlignment="1" applyProtection="1">
      <alignment horizontal="right" vertical="center"/>
      <protection hidden="1"/>
    </xf>
    <xf numFmtId="0" fontId="42" fillId="4" borderId="46" xfId="0" applyFont="1" applyFill="1" applyBorder="1" applyAlignment="1" applyProtection="1">
      <alignment horizontal="center" vertical="center"/>
      <protection hidden="1"/>
    </xf>
    <xf numFmtId="0" fontId="6" fillId="0" borderId="0" xfId="0" applyFont="1" applyAlignment="1" applyProtection="1">
      <alignment horizontal="center"/>
      <protection hidden="1"/>
    </xf>
    <xf numFmtId="1" fontId="6" fillId="0" borderId="13" xfId="0" applyNumberFormat="1" applyFont="1" applyBorder="1" applyAlignment="1" applyProtection="1">
      <alignment horizontal="center"/>
      <protection hidden="1"/>
    </xf>
    <xf numFmtId="165" fontId="6" fillId="0" borderId="13" xfId="0" applyNumberFormat="1" applyFont="1" applyBorder="1" applyAlignment="1" applyProtection="1">
      <alignment horizontal="center"/>
      <protection hidden="1"/>
    </xf>
    <xf numFmtId="165" fontId="6" fillId="0" borderId="51" xfId="0" applyNumberFormat="1" applyFont="1" applyBorder="1" applyAlignment="1" applyProtection="1">
      <alignment horizontal="center"/>
      <protection hidden="1"/>
    </xf>
    <xf numFmtId="1" fontId="6" fillId="0" borderId="13" xfId="0" applyNumberFormat="1" applyFont="1" applyBorder="1" applyAlignment="1" applyProtection="1">
      <alignment horizontal="center"/>
    </xf>
    <xf numFmtId="0" fontId="6" fillId="0" borderId="0" xfId="0" applyFont="1" applyProtection="1"/>
    <xf numFmtId="0" fontId="6" fillId="31" borderId="18" xfId="0" applyFont="1" applyFill="1" applyBorder="1" applyProtection="1"/>
    <xf numFmtId="0" fontId="6" fillId="31" borderId="34" xfId="0" applyFont="1" applyFill="1" applyBorder="1" applyAlignment="1" applyProtection="1">
      <alignment horizontal="center"/>
    </xf>
    <xf numFmtId="0" fontId="6" fillId="0" borderId="0" xfId="0" applyFont="1"/>
    <xf numFmtId="0" fontId="6" fillId="0" borderId="0" xfId="0" applyFont="1" applyAlignment="1" applyProtection="1">
      <alignment horizontal="center"/>
    </xf>
    <xf numFmtId="0" fontId="6" fillId="0" borderId="0" xfId="0" applyFont="1" applyAlignment="1" applyProtection="1">
      <alignment horizontal="center" wrapText="1"/>
    </xf>
    <xf numFmtId="0" fontId="6" fillId="31" borderId="12" xfId="0" applyFont="1" applyFill="1" applyBorder="1" applyAlignment="1" applyProtection="1">
      <alignment horizontal="center" wrapText="1"/>
    </xf>
    <xf numFmtId="0" fontId="6" fillId="31" borderId="36" xfId="0" applyFont="1" applyFill="1" applyBorder="1" applyAlignment="1" applyProtection="1">
      <alignment horizontal="center" wrapText="1"/>
    </xf>
    <xf numFmtId="0" fontId="6" fillId="31" borderId="14" xfId="0" applyFont="1" applyFill="1" applyBorder="1" applyAlignment="1" applyProtection="1">
      <alignment horizontal="center" wrapText="1"/>
    </xf>
    <xf numFmtId="0" fontId="6" fillId="31" borderId="15" xfId="0" applyFont="1" applyFill="1" applyBorder="1" applyAlignment="1" applyProtection="1">
      <alignment horizontal="center" wrapText="1"/>
    </xf>
    <xf numFmtId="0" fontId="6" fillId="31" borderId="1" xfId="0" applyFont="1" applyFill="1" applyBorder="1" applyAlignment="1" applyProtection="1">
      <alignment horizontal="center" wrapText="1"/>
    </xf>
    <xf numFmtId="0" fontId="19" fillId="31" borderId="14" xfId="0" applyFont="1" applyFill="1" applyBorder="1" applyAlignment="1" applyProtection="1">
      <alignment horizontal="center" wrapText="1"/>
    </xf>
    <xf numFmtId="0" fontId="6" fillId="0" borderId="0" xfId="0" applyFont="1" applyAlignment="1" applyProtection="1">
      <alignment wrapText="1"/>
    </xf>
    <xf numFmtId="0" fontId="6" fillId="31" borderId="51" xfId="0" applyFont="1" applyFill="1" applyBorder="1" applyAlignment="1" applyProtection="1">
      <alignment horizontal="center"/>
    </xf>
    <xf numFmtId="0" fontId="6" fillId="31" borderId="26" xfId="0" applyFont="1" applyFill="1" applyBorder="1" applyAlignment="1" applyProtection="1">
      <alignment horizontal="center"/>
    </xf>
    <xf numFmtId="0" fontId="6" fillId="31" borderId="38" xfId="0" applyFont="1" applyFill="1" applyBorder="1" applyAlignment="1" applyProtection="1">
      <alignment horizontal="center"/>
    </xf>
    <xf numFmtId="0" fontId="6" fillId="31" borderId="25" xfId="0" applyFont="1" applyFill="1" applyBorder="1" applyAlignment="1" applyProtection="1">
      <alignment horizontal="center"/>
    </xf>
    <xf numFmtId="0" fontId="6" fillId="31" borderId="1" xfId="0" applyFont="1" applyFill="1" applyBorder="1" applyAlignment="1" applyProtection="1">
      <alignment horizontal="center"/>
    </xf>
    <xf numFmtId="0" fontId="6" fillId="31" borderId="39" xfId="0" applyFont="1" applyFill="1" applyBorder="1" applyAlignment="1" applyProtection="1">
      <alignment horizontal="center"/>
    </xf>
    <xf numFmtId="14" fontId="6" fillId="31" borderId="12" xfId="0" applyNumberFormat="1" applyFont="1" applyFill="1" applyBorder="1" applyAlignment="1" applyProtection="1">
      <alignment horizontal="center"/>
    </xf>
    <xf numFmtId="1" fontId="6" fillId="31" borderId="12" xfId="0" applyNumberFormat="1" applyFont="1" applyFill="1" applyBorder="1" applyAlignment="1" applyProtection="1"/>
    <xf numFmtId="2" fontId="19" fillId="31" borderId="12" xfId="0" applyNumberFormat="1" applyFont="1" applyFill="1" applyBorder="1" applyAlignment="1" applyProtection="1">
      <alignment horizontal="center"/>
    </xf>
    <xf numFmtId="173" fontId="19" fillId="31" borderId="12" xfId="0" applyNumberFormat="1" applyFont="1" applyFill="1" applyBorder="1" applyAlignment="1" applyProtection="1">
      <alignment horizontal="center"/>
    </xf>
    <xf numFmtId="176" fontId="6" fillId="31" borderId="12" xfId="0" applyNumberFormat="1" applyFont="1" applyFill="1" applyBorder="1" applyAlignment="1" applyProtection="1">
      <alignment horizontal="center"/>
    </xf>
    <xf numFmtId="2" fontId="6" fillId="31" borderId="12" xfId="0" applyNumberFormat="1" applyFont="1" applyFill="1" applyBorder="1" applyAlignment="1" applyProtection="1">
      <alignment horizontal="center"/>
    </xf>
    <xf numFmtId="0" fontId="6" fillId="31" borderId="12" xfId="0" applyFont="1" applyFill="1" applyBorder="1" applyAlignment="1" applyProtection="1">
      <alignment horizontal="center"/>
    </xf>
    <xf numFmtId="0" fontId="6" fillId="0" borderId="0" xfId="0" applyFont="1" applyBorder="1"/>
    <xf numFmtId="14" fontId="6" fillId="0" borderId="13" xfId="0" applyNumberFormat="1" applyFont="1" applyBorder="1" applyAlignment="1" applyProtection="1">
      <alignment horizontal="center"/>
    </xf>
    <xf numFmtId="1" fontId="6" fillId="0" borderId="13" xfId="0" applyNumberFormat="1" applyFont="1" applyBorder="1" applyAlignment="1" applyProtection="1"/>
    <xf numFmtId="2" fontId="19" fillId="0" borderId="13" xfId="0" applyNumberFormat="1" applyFont="1" applyBorder="1" applyAlignment="1" applyProtection="1">
      <alignment horizontal="center"/>
    </xf>
    <xf numFmtId="173" fontId="19" fillId="0" borderId="13" xfId="0" applyNumberFormat="1" applyFont="1" applyBorder="1" applyAlignment="1" applyProtection="1">
      <alignment horizontal="center"/>
    </xf>
    <xf numFmtId="176" fontId="6" fillId="0" borderId="13" xfId="0" applyNumberFormat="1" applyFont="1" applyBorder="1" applyAlignment="1" applyProtection="1">
      <alignment horizontal="center"/>
    </xf>
    <xf numFmtId="2" fontId="6" fillId="0" borderId="13" xfId="0" applyNumberFormat="1" applyFont="1" applyBorder="1" applyAlignment="1" applyProtection="1">
      <alignment horizontal="center"/>
    </xf>
    <xf numFmtId="176" fontId="6" fillId="31" borderId="13" xfId="0" applyNumberFormat="1" applyFont="1" applyFill="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applyProtection="1"/>
    <xf numFmtId="175" fontId="6" fillId="0" borderId="13" xfId="0" applyNumberFormat="1" applyFont="1" applyBorder="1" applyAlignment="1" applyProtection="1">
      <alignment horizontal="left"/>
    </xf>
    <xf numFmtId="0" fontId="1" fillId="4" borderId="39" xfId="0" applyFont="1" applyFill="1" applyBorder="1" applyProtection="1">
      <protection locked="0"/>
    </xf>
    <xf numFmtId="14" fontId="6" fillId="0" borderId="13" xfId="0" applyNumberFormat="1" applyFont="1" applyBorder="1"/>
    <xf numFmtId="0" fontId="6" fillId="0" borderId="13" xfId="0" applyFont="1" applyBorder="1"/>
    <xf numFmtId="0" fontId="39" fillId="4" borderId="0" xfId="0" applyFont="1" applyFill="1" applyBorder="1" applyAlignment="1" applyProtection="1">
      <alignment vertical="top"/>
      <protection hidden="1"/>
    </xf>
    <xf numFmtId="0" fontId="6" fillId="8" borderId="54" xfId="0" applyFont="1" applyFill="1" applyBorder="1" applyAlignment="1" applyProtection="1">
      <alignment vertical="center"/>
      <protection hidden="1"/>
    </xf>
    <xf numFmtId="0" fontId="6" fillId="8" borderId="41" xfId="0" applyFont="1" applyFill="1" applyBorder="1" applyAlignment="1" applyProtection="1">
      <alignment vertical="center"/>
      <protection locked="0" hidden="1"/>
    </xf>
    <xf numFmtId="0" fontId="19" fillId="7" borderId="41" xfId="0" applyFont="1" applyFill="1" applyBorder="1" applyAlignment="1" applyProtection="1">
      <alignment vertical="center"/>
      <protection locked="0"/>
    </xf>
    <xf numFmtId="0" fontId="19" fillId="7" borderId="42" xfId="0" applyFont="1" applyFill="1" applyBorder="1" applyAlignment="1" applyProtection="1">
      <alignment vertical="center"/>
      <protection locked="0"/>
    </xf>
    <xf numFmtId="0" fontId="6" fillId="0" borderId="12" xfId="0" applyFont="1" applyBorder="1"/>
    <xf numFmtId="177" fontId="6" fillId="0" borderId="12" xfId="0" applyNumberFormat="1" applyFont="1" applyBorder="1"/>
    <xf numFmtId="177" fontId="6" fillId="0" borderId="13" xfId="0" applyNumberFormat="1" applyFont="1" applyBorder="1"/>
    <xf numFmtId="177" fontId="6" fillId="0" borderId="13" xfId="0" applyNumberFormat="1" applyFont="1" applyBorder="1" applyProtection="1">
      <protection hidden="1"/>
    </xf>
    <xf numFmtId="177" fontId="6" fillId="0" borderId="13" xfId="0" applyNumberFormat="1" applyFont="1" applyBorder="1" applyProtection="1"/>
    <xf numFmtId="0" fontId="6" fillId="8" borderId="28" xfId="0" applyFont="1" applyFill="1" applyBorder="1" applyAlignment="1" applyProtection="1">
      <alignment vertical="center"/>
      <protection locked="0" hidden="1"/>
    </xf>
    <xf numFmtId="171" fontId="39" fillId="4" borderId="0" xfId="0" applyNumberFormat="1" applyFont="1" applyFill="1" applyBorder="1" applyAlignment="1" applyProtection="1">
      <alignment vertical="top"/>
      <protection hidden="1"/>
    </xf>
    <xf numFmtId="2" fontId="19" fillId="0" borderId="13" xfId="0" applyNumberFormat="1" applyFont="1" applyFill="1" applyBorder="1" applyAlignment="1" applyProtection="1">
      <alignment horizontal="center"/>
    </xf>
    <xf numFmtId="173" fontId="19" fillId="0" borderId="13" xfId="0" applyNumberFormat="1" applyFont="1" applyFill="1" applyBorder="1" applyAlignment="1" applyProtection="1">
      <alignment horizontal="center"/>
    </xf>
    <xf numFmtId="176" fontId="6" fillId="0" borderId="13" xfId="0" applyNumberFormat="1" applyFont="1" applyFill="1" applyBorder="1" applyAlignment="1" applyProtection="1">
      <alignment horizontal="center"/>
    </xf>
    <xf numFmtId="2" fontId="6" fillId="0" borderId="13" xfId="0" applyNumberFormat="1" applyFont="1" applyFill="1" applyBorder="1" applyAlignment="1" applyProtection="1">
      <alignment horizontal="center"/>
    </xf>
    <xf numFmtId="2" fontId="48" fillId="0" borderId="13" xfId="0" applyNumberFormat="1" applyFont="1" applyFill="1" applyBorder="1" applyAlignment="1" applyProtection="1">
      <alignment horizontal="center"/>
    </xf>
    <xf numFmtId="0" fontId="6" fillId="31" borderId="38" xfId="0" applyFont="1" applyFill="1" applyBorder="1" applyProtection="1"/>
    <xf numFmtId="0" fontId="6" fillId="0" borderId="0" xfId="0" applyFont="1" applyFill="1" applyBorder="1" applyProtection="1"/>
    <xf numFmtId="0" fontId="6" fillId="0" borderId="0" xfId="0" applyFont="1" applyFill="1" applyAlignment="1" applyProtection="1">
      <alignment horizontal="center"/>
    </xf>
    <xf numFmtId="0" fontId="6" fillId="0" borderId="0" xfId="0" applyFont="1" applyFill="1" applyProtection="1"/>
    <xf numFmtId="0" fontId="6" fillId="0" borderId="0" xfId="0" applyFont="1" applyFill="1" applyAlignment="1" applyProtection="1">
      <alignment horizontal="center" wrapText="1"/>
    </xf>
    <xf numFmtId="175" fontId="6" fillId="31" borderId="12" xfId="0" applyNumberFormat="1" applyFont="1" applyFill="1" applyBorder="1" applyAlignment="1" applyProtection="1">
      <alignment horizontal="left"/>
    </xf>
    <xf numFmtId="14" fontId="6" fillId="31" borderId="51" xfId="0" applyNumberFormat="1" applyFont="1" applyFill="1" applyBorder="1" applyAlignment="1" applyProtection="1">
      <alignment horizontal="center"/>
    </xf>
    <xf numFmtId="1" fontId="6" fillId="31" borderId="51" xfId="0" applyNumberFormat="1" applyFont="1" applyFill="1" applyBorder="1" applyAlignment="1" applyProtection="1"/>
    <xf numFmtId="2" fontId="19" fillId="31" borderId="51" xfId="0" applyNumberFormat="1" applyFont="1" applyFill="1" applyBorder="1" applyAlignment="1" applyProtection="1">
      <alignment horizontal="center"/>
    </xf>
    <xf numFmtId="173" fontId="19" fillId="31" borderId="51" xfId="0" applyNumberFormat="1" applyFont="1" applyFill="1" applyBorder="1" applyAlignment="1" applyProtection="1">
      <alignment horizontal="center"/>
    </xf>
    <xf numFmtId="176" fontId="6" fillId="31" borderId="51" xfId="0" applyNumberFormat="1" applyFont="1" applyFill="1" applyBorder="1" applyAlignment="1" applyProtection="1">
      <alignment horizontal="center"/>
    </xf>
    <xf numFmtId="2" fontId="6" fillId="31" borderId="51" xfId="0" applyNumberFormat="1" applyFont="1" applyFill="1" applyBorder="1" applyAlignment="1" applyProtection="1">
      <alignment horizontal="center"/>
    </xf>
    <xf numFmtId="175" fontId="6" fillId="31" borderId="51" xfId="0" applyNumberFormat="1" applyFont="1" applyFill="1" applyBorder="1" applyAlignment="1" applyProtection="1">
      <alignment horizontal="left"/>
    </xf>
    <xf numFmtId="0" fontId="6" fillId="31" borderId="25" xfId="0" applyFont="1" applyFill="1" applyBorder="1" applyAlignment="1" applyProtection="1">
      <alignment horizontal="center" wrapText="1"/>
    </xf>
    <xf numFmtId="0" fontId="6" fillId="31" borderId="34" xfId="0" applyFont="1" applyFill="1" applyBorder="1" applyAlignment="1" applyProtection="1">
      <alignment horizontal="center" wrapText="1"/>
    </xf>
    <xf numFmtId="0" fontId="6" fillId="31" borderId="34" xfId="0" applyFont="1" applyFill="1" applyBorder="1" applyProtection="1"/>
    <xf numFmtId="0" fontId="6" fillId="31" borderId="36" xfId="0" applyFont="1" applyFill="1" applyBorder="1" applyProtection="1"/>
    <xf numFmtId="0" fontId="6" fillId="31" borderId="25" xfId="0" applyFont="1" applyFill="1" applyBorder="1" applyProtection="1"/>
    <xf numFmtId="0" fontId="6" fillId="31" borderId="26" xfId="0" applyFont="1" applyFill="1" applyBorder="1" applyProtection="1"/>
    <xf numFmtId="0" fontId="6" fillId="0" borderId="1" xfId="0" applyFont="1" applyBorder="1" applyAlignment="1" applyProtection="1">
      <alignment horizontal="center"/>
    </xf>
    <xf numFmtId="0" fontId="38" fillId="32" borderId="1" xfId="0" applyFont="1" applyFill="1" applyBorder="1"/>
    <xf numFmtId="0" fontId="38" fillId="32" borderId="12" xfId="0" applyFont="1" applyFill="1" applyBorder="1" applyAlignment="1">
      <alignment horizontal="center"/>
    </xf>
    <xf numFmtId="174" fontId="3" fillId="32" borderId="1" xfId="0" applyNumberFormat="1" applyFont="1" applyFill="1" applyBorder="1" applyAlignment="1">
      <alignment horizontal="center"/>
    </xf>
    <xf numFmtId="1" fontId="38" fillId="32" borderId="1" xfId="0" applyNumberFormat="1"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xf numFmtId="1" fontId="6" fillId="0" borderId="13" xfId="0" applyNumberFormat="1" applyFont="1" applyBorder="1" applyAlignment="1">
      <alignment horizontal="center"/>
    </xf>
    <xf numFmtId="0" fontId="6" fillId="0" borderId="13" xfId="0" applyFont="1" applyFill="1" applyBorder="1" applyAlignment="1">
      <alignment horizontal="center"/>
    </xf>
    <xf numFmtId="0" fontId="6" fillId="0" borderId="13" xfId="0" applyFont="1" applyFill="1" applyBorder="1"/>
    <xf numFmtId="0" fontId="6" fillId="0" borderId="37" xfId="0" applyFont="1" applyFill="1" applyBorder="1"/>
    <xf numFmtId="0" fontId="6" fillId="0" borderId="13" xfId="0" applyFont="1" applyBorder="1" applyAlignment="1">
      <alignment horizontal="center"/>
    </xf>
    <xf numFmtId="0" fontId="6" fillId="0" borderId="59" xfId="0" applyFont="1" applyBorder="1"/>
    <xf numFmtId="0" fontId="6" fillId="0" borderId="59" xfId="0" applyFont="1" applyFill="1" applyBorder="1" applyAlignment="1">
      <alignment horizontal="center"/>
    </xf>
    <xf numFmtId="0" fontId="6" fillId="0" borderId="59" xfId="0" applyFont="1" applyFill="1" applyBorder="1"/>
    <xf numFmtId="177" fontId="6" fillId="0" borderId="59" xfId="0" applyNumberFormat="1" applyFont="1" applyBorder="1"/>
    <xf numFmtId="1" fontId="6" fillId="0" borderId="59" xfId="0" applyNumberFormat="1" applyFont="1" applyBorder="1" applyAlignment="1">
      <alignment horizontal="center"/>
    </xf>
    <xf numFmtId="0" fontId="6" fillId="0" borderId="60" xfId="0" applyFont="1" applyBorder="1"/>
    <xf numFmtId="0" fontId="6" fillId="0" borderId="60" xfId="0" applyFont="1" applyFill="1" applyBorder="1" applyAlignment="1">
      <alignment horizontal="center"/>
    </xf>
    <xf numFmtId="0" fontId="6" fillId="0" borderId="60" xfId="0" applyFont="1" applyFill="1" applyBorder="1"/>
    <xf numFmtId="0" fontId="6" fillId="0" borderId="54" xfId="0" applyFont="1" applyFill="1" applyBorder="1"/>
    <xf numFmtId="177" fontId="6" fillId="0" borderId="60" xfId="0" applyNumberFormat="1" applyFont="1" applyBorder="1"/>
    <xf numFmtId="1" fontId="6" fillId="0" borderId="60" xfId="0" applyNumberFormat="1" applyFont="1" applyBorder="1" applyAlignment="1">
      <alignment horizontal="center"/>
    </xf>
    <xf numFmtId="0" fontId="6" fillId="0" borderId="60" xfId="0" applyFont="1" applyBorder="1" applyAlignment="1">
      <alignment horizontal="center"/>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61" xfId="0" applyFont="1" applyFill="1" applyBorder="1"/>
    <xf numFmtId="0" fontId="6" fillId="8" borderId="14" xfId="0" applyFont="1" applyFill="1" applyBorder="1" applyAlignment="1" applyProtection="1">
      <alignment vertical="center"/>
      <protection locked="0" hidden="1"/>
    </xf>
    <xf numFmtId="0" fontId="6" fillId="8" borderId="15" xfId="0" applyFont="1" applyFill="1" applyBorder="1" applyAlignment="1" applyProtection="1">
      <alignment vertical="center"/>
      <protection locked="0" hidden="1"/>
    </xf>
    <xf numFmtId="0" fontId="6" fillId="7" borderId="15" xfId="0" applyFont="1" applyFill="1" applyBorder="1" applyProtection="1">
      <protection locked="0" hidden="1"/>
    </xf>
    <xf numFmtId="0" fontId="6" fillId="7" borderId="16" xfId="0" applyFont="1" applyFill="1" applyBorder="1" applyProtection="1">
      <protection locked="0" hidden="1"/>
    </xf>
    <xf numFmtId="0" fontId="6" fillId="8" borderId="62" xfId="0" applyFont="1" applyFill="1" applyBorder="1" applyAlignment="1" applyProtection="1">
      <alignment vertical="center"/>
      <protection locked="0" hidden="1"/>
    </xf>
    <xf numFmtId="0" fontId="49" fillId="7" borderId="28" xfId="0" applyFont="1" applyFill="1" applyBorder="1" applyProtection="1">
      <protection locked="0" hidden="1"/>
    </xf>
    <xf numFmtId="0" fontId="49" fillId="7" borderId="21" xfId="0" applyFont="1" applyFill="1" applyBorder="1" applyProtection="1">
      <protection locked="0" hidden="1"/>
    </xf>
    <xf numFmtId="0" fontId="9" fillId="4" borderId="18" xfId="0" applyFont="1" applyFill="1" applyBorder="1"/>
    <xf numFmtId="0" fontId="9" fillId="4" borderId="34" xfId="0" applyFont="1" applyFill="1" applyBorder="1"/>
    <xf numFmtId="0" fontId="9" fillId="4" borderId="36" xfId="0" applyFont="1" applyFill="1" applyBorder="1"/>
    <xf numFmtId="0" fontId="9" fillId="0" borderId="0" xfId="0" applyFont="1"/>
    <xf numFmtId="0" fontId="9" fillId="4" borderId="37" xfId="0" applyFont="1" applyFill="1" applyBorder="1"/>
    <xf numFmtId="0" fontId="9" fillId="4" borderId="24" xfId="0" applyFont="1" applyFill="1" applyBorder="1"/>
    <xf numFmtId="0" fontId="9" fillId="4" borderId="0" xfId="0" applyFont="1" applyFill="1" applyBorder="1"/>
    <xf numFmtId="0" fontId="9" fillId="4" borderId="38" xfId="0" applyFont="1" applyFill="1" applyBorder="1"/>
    <xf numFmtId="0" fontId="9" fillId="4" borderId="25" xfId="0" applyFont="1" applyFill="1" applyBorder="1"/>
    <xf numFmtId="0" fontId="9" fillId="4" borderId="26" xfId="0" applyFont="1" applyFill="1" applyBorder="1"/>
    <xf numFmtId="0" fontId="50" fillId="4" borderId="0" xfId="0" applyFont="1" applyFill="1" applyBorder="1"/>
    <xf numFmtId="0" fontId="50" fillId="4" borderId="15" xfId="0" applyFont="1" applyFill="1" applyBorder="1" applyAlignment="1">
      <alignment horizontal="center"/>
    </xf>
    <xf numFmtId="0" fontId="50" fillId="4" borderId="0" xfId="0" applyFont="1" applyFill="1" applyBorder="1" applyAlignment="1">
      <alignment horizontal="center"/>
    </xf>
    <xf numFmtId="0" fontId="2" fillId="4" borderId="37" xfId="0" applyFont="1" applyFill="1" applyBorder="1"/>
    <xf numFmtId="0" fontId="52" fillId="4" borderId="0" xfId="0" applyFont="1" applyFill="1" applyBorder="1" applyAlignment="1">
      <alignment horizontal="center"/>
    </xf>
    <xf numFmtId="0" fontId="2" fillId="4" borderId="24" xfId="0" applyFont="1" applyFill="1" applyBorder="1"/>
    <xf numFmtId="0" fontId="2" fillId="0" borderId="0" xfId="0" applyFont="1"/>
    <xf numFmtId="0" fontId="53" fillId="4" borderId="37" xfId="0" applyFont="1" applyFill="1" applyBorder="1"/>
    <xf numFmtId="0" fontId="54" fillId="4" borderId="0" xfId="0" applyFont="1" applyFill="1" applyBorder="1"/>
    <xf numFmtId="0" fontId="53" fillId="4" borderId="24" xfId="0" applyFont="1" applyFill="1" applyBorder="1"/>
    <xf numFmtId="0" fontId="53" fillId="0" borderId="0" xfId="0" applyFont="1"/>
    <xf numFmtId="0" fontId="54" fillId="4" borderId="13" xfId="0" applyFont="1" applyFill="1" applyBorder="1"/>
    <xf numFmtId="0" fontId="9" fillId="4" borderId="37" xfId="0" applyFont="1" applyFill="1" applyBorder="1" applyAlignment="1">
      <alignment vertical="center"/>
    </xf>
    <xf numFmtId="0" fontId="50" fillId="4" borderId="0" xfId="0" applyFont="1" applyFill="1" applyBorder="1" applyAlignment="1">
      <alignment vertical="center"/>
    </xf>
    <xf numFmtId="0" fontId="9" fillId="4" borderId="24" xfId="0" applyFont="1" applyFill="1" applyBorder="1" applyAlignment="1">
      <alignment vertical="center"/>
    </xf>
    <xf numFmtId="0" fontId="9" fillId="0" borderId="0" xfId="0" applyFont="1" applyAlignment="1">
      <alignment vertical="center"/>
    </xf>
    <xf numFmtId="164" fontId="50" fillId="0" borderId="66" xfId="0" applyNumberFormat="1" applyFont="1" applyBorder="1" applyAlignment="1">
      <alignment vertical="center"/>
    </xf>
    <xf numFmtId="164" fontId="50" fillId="0" borderId="67" xfId="0" applyNumberFormat="1" applyFont="1" applyBorder="1" applyAlignment="1">
      <alignment vertical="center"/>
    </xf>
    <xf numFmtId="164" fontId="50" fillId="0" borderId="68" xfId="0" applyNumberFormat="1" applyFont="1" applyBorder="1" applyAlignment="1">
      <alignment vertical="center"/>
    </xf>
    <xf numFmtId="164" fontId="50" fillId="0" borderId="69" xfId="0" applyNumberFormat="1" applyFont="1" applyBorder="1" applyAlignment="1">
      <alignment vertical="center"/>
    </xf>
    <xf numFmtId="164" fontId="50" fillId="0" borderId="70" xfId="0" applyNumberFormat="1" applyFont="1" applyBorder="1" applyAlignment="1">
      <alignment vertical="center"/>
    </xf>
    <xf numFmtId="164" fontId="50" fillId="0" borderId="71" xfId="0" applyNumberFormat="1" applyFont="1" applyBorder="1" applyAlignment="1">
      <alignment vertical="center"/>
    </xf>
    <xf numFmtId="0" fontId="57" fillId="4" borderId="34" xfId="0" applyFont="1" applyFill="1" applyBorder="1"/>
    <xf numFmtId="0" fontId="57" fillId="4" borderId="0" xfId="0" applyFont="1" applyFill="1" applyBorder="1"/>
    <xf numFmtId="0" fontId="51" fillId="4" borderId="0" xfId="0" applyFont="1" applyFill="1" applyBorder="1" applyAlignment="1">
      <alignment horizontal="center"/>
    </xf>
    <xf numFmtId="0" fontId="51" fillId="4" borderId="0" xfId="0" applyFont="1" applyFill="1" applyBorder="1"/>
    <xf numFmtId="0" fontId="51" fillId="4" borderId="15" xfId="0" applyFont="1" applyFill="1" applyBorder="1" applyAlignment="1">
      <alignment horizontal="center"/>
    </xf>
    <xf numFmtId="0" fontId="57" fillId="4" borderId="25" xfId="0" applyFont="1" applyFill="1" applyBorder="1"/>
    <xf numFmtId="0" fontId="57" fillId="0" borderId="0" xfId="0" applyFont="1"/>
    <xf numFmtId="0" fontId="57" fillId="7" borderId="65" xfId="0" applyFont="1" applyFill="1" applyBorder="1"/>
    <xf numFmtId="0" fontId="51" fillId="0" borderId="72" xfId="0" applyFont="1" applyBorder="1" applyAlignment="1">
      <alignment vertical="center"/>
    </xf>
    <xf numFmtId="0" fontId="51" fillId="0" borderId="73" xfId="0" applyFont="1" applyBorder="1" applyAlignment="1">
      <alignment vertical="center"/>
    </xf>
    <xf numFmtId="0" fontId="51" fillId="0" borderId="74" xfId="0" applyFont="1" applyBorder="1" applyAlignment="1">
      <alignment vertical="center"/>
    </xf>
    <xf numFmtId="0" fontId="55" fillId="33" borderId="75" xfId="0" applyFont="1" applyFill="1" applyBorder="1" applyAlignment="1">
      <alignment horizontal="center"/>
    </xf>
    <xf numFmtId="0" fontId="55" fillId="33" borderId="76" xfId="0" applyFont="1" applyFill="1" applyBorder="1" applyAlignment="1">
      <alignment horizontal="center"/>
    </xf>
    <xf numFmtId="0" fontId="58" fillId="0" borderId="77" xfId="0" applyFont="1" applyFill="1" applyBorder="1" applyAlignment="1">
      <alignment horizontal="left" indent="1"/>
    </xf>
    <xf numFmtId="0" fontId="12" fillId="7" borderId="64" xfId="0" applyFont="1" applyFill="1" applyBorder="1" applyAlignment="1" applyProtection="1">
      <alignment horizontal="right" vertical="center"/>
      <protection hidden="1"/>
    </xf>
    <xf numFmtId="166" fontId="0" fillId="7" borderId="64" xfId="0" applyNumberFormat="1" applyFont="1" applyFill="1" applyBorder="1" applyAlignment="1" applyProtection="1">
      <alignment horizontal="center" vertical="center"/>
      <protection locked="0"/>
    </xf>
    <xf numFmtId="171" fontId="27" fillId="7" borderId="64" xfId="0" applyNumberFormat="1" applyFont="1" applyFill="1" applyBorder="1" applyAlignment="1" applyProtection="1">
      <alignment horizontal="left" indent="1"/>
      <protection hidden="1"/>
    </xf>
    <xf numFmtId="171" fontId="30" fillId="7" borderId="64" xfId="0" applyNumberFormat="1" applyFont="1" applyFill="1" applyBorder="1" applyAlignment="1" applyProtection="1">
      <alignment horizontal="left" indent="1"/>
      <protection hidden="1"/>
    </xf>
    <xf numFmtId="0" fontId="47" fillId="7" borderId="64" xfId="882" applyNumberFormat="1" applyFont="1" applyFill="1" applyBorder="1" applyAlignment="1" applyProtection="1">
      <protection hidden="1"/>
    </xf>
    <xf numFmtId="0" fontId="6" fillId="0" borderId="17" xfId="0" applyFont="1" applyBorder="1" applyProtection="1">
      <protection hidden="1"/>
    </xf>
    <xf numFmtId="0" fontId="6" fillId="0" borderId="4" xfId="0" quotePrefix="1" applyFont="1" applyBorder="1" applyProtection="1">
      <protection hidden="1"/>
    </xf>
    <xf numFmtId="0" fontId="0" fillId="4" borderId="0" xfId="0" applyFont="1" applyFill="1" applyBorder="1" applyAlignment="1" applyProtection="1">
      <alignment horizontal="center"/>
      <protection hidden="1"/>
    </xf>
    <xf numFmtId="0" fontId="14" fillId="4" borderId="0" xfId="0" applyFont="1" applyFill="1" applyBorder="1" applyAlignment="1" applyProtection="1">
      <alignment horizontal="center" vertical="center"/>
      <protection hidden="1"/>
    </xf>
    <xf numFmtId="0" fontId="0" fillId="0" borderId="0" xfId="0" applyFont="1" applyFill="1" applyAlignment="1" applyProtection="1">
      <alignment horizontal="center"/>
      <protection hidden="1"/>
    </xf>
    <xf numFmtId="0" fontId="61" fillId="4" borderId="0" xfId="0" applyFont="1" applyFill="1" applyBorder="1" applyAlignment="1" applyProtection="1">
      <alignment horizontal="center" vertical="center"/>
      <protection hidden="1"/>
    </xf>
    <xf numFmtId="164" fontId="61" fillId="4" borderId="0" xfId="0" applyNumberFormat="1" applyFont="1" applyFill="1" applyBorder="1" applyAlignment="1" applyProtection="1">
      <alignment vertical="center"/>
      <protection hidden="1"/>
    </xf>
    <xf numFmtId="0" fontId="62" fillId="4" borderId="0" xfId="0" applyFont="1" applyFill="1" applyBorder="1" applyAlignment="1" applyProtection="1">
      <alignment vertical="center"/>
      <protection hidden="1"/>
    </xf>
    <xf numFmtId="0" fontId="62" fillId="4" borderId="0" xfId="0" applyFont="1" applyFill="1" applyBorder="1" applyAlignment="1" applyProtection="1">
      <alignment horizontal="center" vertical="center"/>
      <protection hidden="1"/>
    </xf>
    <xf numFmtId="0" fontId="10" fillId="4" borderId="0" xfId="0" applyFont="1" applyFill="1" applyBorder="1" applyProtection="1">
      <protection hidden="1"/>
    </xf>
    <xf numFmtId="0" fontId="10" fillId="0" borderId="0" xfId="0" applyFont="1" applyFill="1" applyProtection="1">
      <protection hidden="1"/>
    </xf>
    <xf numFmtId="178" fontId="6" fillId="0" borderId="0" xfId="0" applyNumberFormat="1" applyFont="1" applyFill="1"/>
    <xf numFmtId="164" fontId="61" fillId="4" borderId="0" xfId="0" applyNumberFormat="1"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2" fillId="4" borderId="0" xfId="0" applyFont="1" applyFill="1" applyBorder="1" applyAlignment="1" applyProtection="1">
      <alignment horizontal="right" vertical="center"/>
      <protection hidden="1"/>
    </xf>
    <xf numFmtId="0" fontId="0" fillId="4" borderId="83" xfId="0" applyFill="1" applyBorder="1" applyProtection="1">
      <protection hidden="1"/>
    </xf>
    <xf numFmtId="0" fontId="9" fillId="4" borderId="84" xfId="0" applyFont="1" applyFill="1" applyBorder="1" applyProtection="1">
      <protection hidden="1"/>
    </xf>
    <xf numFmtId="0" fontId="0" fillId="4" borderId="84" xfId="0" applyFont="1" applyFill="1" applyBorder="1" applyAlignment="1" applyProtection="1">
      <alignment horizontal="center"/>
      <protection hidden="1"/>
    </xf>
    <xf numFmtId="0" fontId="0" fillId="4" borderId="84" xfId="0" applyFont="1" applyFill="1" applyBorder="1" applyProtection="1">
      <protection hidden="1"/>
    </xf>
    <xf numFmtId="0" fontId="10" fillId="4" borderId="84" xfId="0" applyFont="1" applyFill="1" applyBorder="1" applyAlignment="1" applyProtection="1">
      <alignment horizontal="center"/>
      <protection hidden="1"/>
    </xf>
    <xf numFmtId="0" fontId="0" fillId="4" borderId="84" xfId="0" applyFill="1" applyBorder="1" applyProtection="1">
      <protection hidden="1"/>
    </xf>
    <xf numFmtId="0" fontId="0" fillId="4" borderId="85" xfId="0" applyFill="1" applyBorder="1" applyProtection="1">
      <protection hidden="1"/>
    </xf>
    <xf numFmtId="0" fontId="0" fillId="4" borderId="86" xfId="0" applyFill="1" applyBorder="1" applyProtection="1">
      <protection hidden="1"/>
    </xf>
    <xf numFmtId="0" fontId="0" fillId="4" borderId="82" xfId="0" applyFill="1" applyBorder="1" applyProtection="1">
      <protection hidden="1"/>
    </xf>
    <xf numFmtId="0" fontId="10" fillId="4" borderId="86" xfId="0" applyFont="1" applyFill="1" applyBorder="1" applyProtection="1">
      <protection hidden="1"/>
    </xf>
    <xf numFmtId="0" fontId="10" fillId="4" borderId="82" xfId="0" applyFont="1" applyFill="1" applyBorder="1" applyProtection="1">
      <protection hidden="1"/>
    </xf>
    <xf numFmtId="0" fontId="62" fillId="4" borderId="86" xfId="0" applyFont="1" applyFill="1" applyBorder="1" applyAlignment="1" applyProtection="1">
      <alignment vertical="center"/>
      <protection hidden="1"/>
    </xf>
    <xf numFmtId="0" fontId="62" fillId="4" borderId="82" xfId="0" applyFont="1" applyFill="1" applyBorder="1" applyAlignment="1" applyProtection="1">
      <alignment vertical="center"/>
      <protection hidden="1"/>
    </xf>
    <xf numFmtId="0" fontId="0" fillId="4" borderId="86" xfId="0" applyFill="1" applyBorder="1" applyAlignment="1" applyProtection="1">
      <alignment vertical="center"/>
      <protection hidden="1"/>
    </xf>
    <xf numFmtId="0" fontId="0" fillId="4" borderId="82" xfId="0" applyFill="1" applyBorder="1" applyAlignment="1" applyProtection="1">
      <alignment vertical="center"/>
      <protection hidden="1"/>
    </xf>
    <xf numFmtId="0" fontId="0" fillId="4" borderId="87" xfId="0" applyFill="1" applyBorder="1" applyProtection="1">
      <protection hidden="1"/>
    </xf>
    <xf numFmtId="0" fontId="9" fillId="4" borderId="80" xfId="0" applyFont="1" applyFill="1" applyBorder="1" applyProtection="1">
      <protection hidden="1"/>
    </xf>
    <xf numFmtId="0" fontId="0" fillId="4" borderId="80" xfId="0" applyFont="1" applyFill="1" applyBorder="1" applyAlignment="1" applyProtection="1">
      <alignment horizontal="center"/>
      <protection hidden="1"/>
    </xf>
    <xf numFmtId="0" fontId="0" fillId="4" borderId="80" xfId="0" applyFont="1" applyFill="1" applyBorder="1" applyProtection="1">
      <protection hidden="1"/>
    </xf>
    <xf numFmtId="0" fontId="10" fillId="4" borderId="80" xfId="0" applyFont="1" applyFill="1" applyBorder="1" applyAlignment="1" applyProtection="1">
      <alignment horizontal="center"/>
      <protection hidden="1"/>
    </xf>
    <xf numFmtId="0" fontId="0" fillId="4" borderId="80" xfId="0" applyFill="1" applyBorder="1" applyProtection="1">
      <protection hidden="1"/>
    </xf>
    <xf numFmtId="0" fontId="0" fillId="4" borderId="81" xfId="0" applyFill="1" applyBorder="1" applyProtection="1">
      <protection hidden="1"/>
    </xf>
    <xf numFmtId="0" fontId="13" fillId="4" borderId="0" xfId="0" applyFont="1" applyFill="1" applyBorder="1" applyAlignment="1" applyProtection="1">
      <alignment vertical="top"/>
      <protection hidden="1"/>
    </xf>
    <xf numFmtId="0" fontId="12" fillId="7" borderId="63" xfId="0" applyFont="1" applyFill="1" applyBorder="1" applyAlignment="1" applyProtection="1">
      <alignment vertical="center"/>
      <protection hidden="1"/>
    </xf>
    <xf numFmtId="0" fontId="0" fillId="7" borderId="64" xfId="0" applyFill="1" applyBorder="1" applyAlignment="1">
      <alignment vertical="center"/>
    </xf>
    <xf numFmtId="0" fontId="0" fillId="7" borderId="65" xfId="0" applyFill="1" applyBorder="1" applyAlignment="1">
      <alignment vertical="center"/>
    </xf>
    <xf numFmtId="0" fontId="15" fillId="4" borderId="64"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0" fillId="4" borderId="65" xfId="0" applyFill="1" applyBorder="1" applyAlignment="1">
      <alignment vertical="center"/>
    </xf>
    <xf numFmtId="0" fontId="9" fillId="4" borderId="24" xfId="0" applyFont="1" applyFill="1" applyBorder="1" applyAlignment="1" applyProtection="1">
      <alignment vertical="center"/>
      <protection hidden="1"/>
    </xf>
    <xf numFmtId="0" fontId="9" fillId="4" borderId="13" xfId="0" applyFont="1" applyFill="1" applyBorder="1" applyAlignment="1" applyProtection="1">
      <alignment vertical="center"/>
      <protection hidden="1"/>
    </xf>
    <xf numFmtId="0" fontId="9" fillId="4" borderId="0" xfId="0" applyFont="1" applyFill="1" applyBorder="1" applyAlignment="1" applyProtection="1">
      <protection hidden="1"/>
    </xf>
    <xf numFmtId="0" fontId="12" fillId="7" borderId="64" xfId="0" applyFont="1" applyFill="1" applyBorder="1" applyAlignment="1" applyProtection="1">
      <alignment horizontal="left" vertical="center"/>
      <protection hidden="1"/>
    </xf>
    <xf numFmtId="179" fontId="65" fillId="38" borderId="88" xfId="0" applyNumberFormat="1" applyFont="1" applyFill="1" applyBorder="1"/>
    <xf numFmtId="165" fontId="6" fillId="0" borderId="89" xfId="0" applyNumberFormat="1" applyFont="1" applyFill="1" applyBorder="1" applyAlignment="1">
      <alignment horizontal="center"/>
    </xf>
    <xf numFmtId="165" fontId="6" fillId="0" borderId="88" xfId="0" applyNumberFormat="1" applyFont="1" applyFill="1" applyBorder="1" applyAlignment="1">
      <alignment horizontal="center"/>
    </xf>
    <xf numFmtId="165" fontId="6" fillId="0" borderId="88" xfId="0" applyNumberFormat="1" applyFont="1" applyBorder="1"/>
    <xf numFmtId="165" fontId="6" fillId="0" borderId="0" xfId="0" applyNumberFormat="1" applyFont="1"/>
    <xf numFmtId="0" fontId="63" fillId="4" borderId="0" xfId="0" applyFont="1" applyFill="1" applyBorder="1" applyAlignment="1" applyProtection="1">
      <alignment horizontal="left" vertical="center"/>
      <protection hidden="1"/>
    </xf>
    <xf numFmtId="0" fontId="64" fillId="37" borderId="51" xfId="0" applyFont="1" applyFill="1" applyBorder="1" applyAlignment="1">
      <alignment horizontal="center" vertical="center"/>
    </xf>
    <xf numFmtId="165" fontId="38" fillId="4" borderId="90" xfId="0" applyNumberFormat="1" applyFont="1" applyFill="1" applyBorder="1" applyAlignment="1">
      <alignment horizontal="center" vertical="center"/>
    </xf>
    <xf numFmtId="165" fontId="38" fillId="4" borderId="91" xfId="0" applyNumberFormat="1" applyFont="1" applyFill="1" applyBorder="1" applyAlignment="1">
      <alignment horizontal="center" vertical="center"/>
    </xf>
    <xf numFmtId="165" fontId="38" fillId="4" borderId="91" xfId="0" applyNumberFormat="1" applyFont="1" applyFill="1" applyBorder="1" applyAlignment="1">
      <alignment vertical="center" wrapText="1"/>
    </xf>
    <xf numFmtId="0" fontId="3" fillId="2" borderId="9" xfId="0" applyFont="1" applyFill="1" applyBorder="1" applyAlignment="1" applyProtection="1">
      <alignment horizontal="center"/>
      <protection hidden="1"/>
    </xf>
    <xf numFmtId="14" fontId="6" fillId="0" borderId="51" xfId="0" applyNumberFormat="1" applyFont="1" applyBorder="1" applyAlignment="1" applyProtection="1">
      <protection hidden="1"/>
    </xf>
    <xf numFmtId="0" fontId="6" fillId="0" borderId="38" xfId="0" applyFont="1" applyBorder="1" applyProtection="1">
      <protection hidden="1"/>
    </xf>
    <xf numFmtId="0" fontId="6" fillId="0" borderId="92" xfId="0" applyFont="1" applyBorder="1" applyProtection="1">
      <protection hidden="1"/>
    </xf>
    <xf numFmtId="165" fontId="38" fillId="4" borderId="91" xfId="0" applyNumberFormat="1" applyFont="1" applyFill="1" applyBorder="1" applyAlignment="1">
      <alignment vertical="center"/>
    </xf>
    <xf numFmtId="165" fontId="0" fillId="0" borderId="0" xfId="0" applyNumberFormat="1"/>
    <xf numFmtId="0" fontId="12" fillId="4" borderId="64" xfId="0" applyFont="1" applyFill="1" applyBorder="1" applyAlignment="1" applyProtection="1">
      <alignment horizontal="right" vertical="center"/>
      <protection hidden="1"/>
    </xf>
    <xf numFmtId="0" fontId="9" fillId="4" borderId="34" xfId="0" applyFont="1" applyFill="1" applyBorder="1" applyProtection="1">
      <protection hidden="1"/>
    </xf>
    <xf numFmtId="0" fontId="0" fillId="4" borderId="34" xfId="0" applyFill="1" applyBorder="1" applyAlignment="1" applyProtection="1">
      <alignment horizontal="center" vertical="center"/>
      <protection hidden="1"/>
    </xf>
    <xf numFmtId="0" fontId="0" fillId="4" borderId="34" xfId="0" applyFont="1" applyFill="1" applyBorder="1" applyProtection="1">
      <protection hidden="1"/>
    </xf>
    <xf numFmtId="0" fontId="10" fillId="4" borderId="34" xfId="0" applyFont="1" applyFill="1" applyBorder="1" applyAlignment="1" applyProtection="1">
      <alignment horizontal="center"/>
      <protection hidden="1"/>
    </xf>
    <xf numFmtId="0" fontId="0" fillId="4" borderId="37" xfId="0" applyFill="1" applyBorder="1" applyAlignment="1" applyProtection="1">
      <alignment vertical="center"/>
      <protection hidden="1"/>
    </xf>
    <xf numFmtId="0" fontId="0" fillId="4" borderId="24" xfId="0" applyFill="1" applyBorder="1" applyAlignment="1" applyProtection="1">
      <alignment vertical="center"/>
      <protection hidden="1"/>
    </xf>
    <xf numFmtId="0" fontId="16" fillId="4" borderId="37" xfId="0" applyFont="1" applyFill="1" applyBorder="1" applyAlignment="1" applyProtection="1">
      <alignment horizontal="right" vertical="center"/>
      <protection hidden="1"/>
    </xf>
    <xf numFmtId="0" fontId="16" fillId="4" borderId="24" xfId="0" applyFont="1" applyFill="1" applyBorder="1" applyAlignment="1" applyProtection="1">
      <alignment horizontal="right" vertical="center"/>
      <protection hidden="1"/>
    </xf>
    <xf numFmtId="0" fontId="9" fillId="4" borderId="25" xfId="0" applyFont="1" applyFill="1" applyBorder="1" applyProtection="1">
      <protection hidden="1"/>
    </xf>
    <xf numFmtId="0" fontId="0" fillId="4" borderId="25" xfId="0" applyFill="1" applyBorder="1" applyAlignment="1" applyProtection="1">
      <alignment horizontal="center" vertical="center"/>
      <protection hidden="1"/>
    </xf>
    <xf numFmtId="0" fontId="0" fillId="4" borderId="25" xfId="0" applyFont="1" applyFill="1" applyBorder="1" applyProtection="1">
      <protection hidden="1"/>
    </xf>
    <xf numFmtId="0" fontId="0" fillId="4" borderId="25" xfId="0" applyFont="1" applyFill="1" applyBorder="1" applyAlignment="1" applyProtection="1">
      <alignment vertical="center"/>
      <protection hidden="1"/>
    </xf>
    <xf numFmtId="0" fontId="10" fillId="4" borderId="25" xfId="0" applyFont="1" applyFill="1" applyBorder="1" applyAlignment="1" applyProtection="1">
      <alignment horizontal="center"/>
      <protection hidden="1"/>
    </xf>
    <xf numFmtId="0" fontId="0" fillId="4" borderId="38" xfId="0" applyFill="1" applyBorder="1" applyAlignment="1" applyProtection="1">
      <alignment vertical="center"/>
      <protection hidden="1"/>
    </xf>
    <xf numFmtId="0" fontId="9" fillId="4" borderId="25" xfId="0" applyFont="1" applyFill="1" applyBorder="1" applyAlignment="1" applyProtection="1">
      <alignment horizontal="center" vertical="center"/>
      <protection hidden="1"/>
    </xf>
    <xf numFmtId="164" fontId="9" fillId="4" borderId="25" xfId="0" applyNumberFormat="1" applyFont="1" applyFill="1" applyBorder="1" applyAlignment="1" applyProtection="1">
      <alignment vertical="center"/>
      <protection hidden="1"/>
    </xf>
    <xf numFmtId="164" fontId="8" fillId="4" borderId="25" xfId="0" applyNumberFormat="1" applyFont="1" applyFill="1" applyBorder="1" applyAlignment="1" applyProtection="1">
      <alignment horizontal="center" vertical="center"/>
      <protection hidden="1"/>
    </xf>
    <xf numFmtId="0" fontId="10" fillId="4" borderId="25" xfId="0" applyFont="1" applyFill="1" applyBorder="1" applyAlignment="1" applyProtection="1">
      <alignment horizontal="center" vertical="center"/>
      <protection hidden="1"/>
    </xf>
    <xf numFmtId="0" fontId="8" fillId="4" borderId="25" xfId="0" applyFont="1" applyFill="1" applyBorder="1" applyAlignment="1" applyProtection="1">
      <alignment vertical="center"/>
      <protection hidden="1"/>
    </xf>
    <xf numFmtId="0" fontId="0" fillId="4" borderId="26" xfId="0" applyFill="1" applyBorder="1" applyAlignment="1" applyProtection="1">
      <alignment vertical="center"/>
      <protection hidden="1"/>
    </xf>
    <xf numFmtId="0" fontId="6" fillId="0" borderId="13" xfId="0" applyFont="1" applyBorder="1" applyAlignment="1" applyProtection="1">
      <alignment horizontal="center"/>
      <protection hidden="1"/>
    </xf>
    <xf numFmtId="14" fontId="6" fillId="0" borderId="51" xfId="0" applyNumberFormat="1" applyFont="1" applyBorder="1"/>
    <xf numFmtId="0" fontId="6" fillId="0" borderId="51" xfId="0" applyFont="1" applyBorder="1" applyAlignment="1" applyProtection="1">
      <alignment horizontal="center"/>
      <protection hidden="1"/>
    </xf>
    <xf numFmtId="0" fontId="3" fillId="4" borderId="1" xfId="0" applyFont="1" applyFill="1" applyBorder="1" applyAlignment="1" applyProtection="1">
      <alignment horizontal="center"/>
      <protection hidden="1"/>
    </xf>
    <xf numFmtId="0" fontId="3" fillId="0" borderId="96" xfId="0" applyFont="1" applyBorder="1" applyAlignment="1" applyProtection="1">
      <alignment horizontal="center"/>
      <protection hidden="1"/>
    </xf>
    <xf numFmtId="0" fontId="66" fillId="0" borderId="0" xfId="0" applyFont="1" applyProtection="1">
      <protection hidden="1"/>
    </xf>
    <xf numFmtId="0" fontId="0" fillId="0" borderId="0" xfId="0" applyBorder="1"/>
    <xf numFmtId="0" fontId="0" fillId="0" borderId="0" xfId="0" applyBorder="1" applyAlignment="1">
      <alignment horizontal="center"/>
    </xf>
    <xf numFmtId="0" fontId="67" fillId="0" borderId="0" xfId="0" applyFont="1" applyAlignment="1">
      <alignment vertical="center"/>
    </xf>
    <xf numFmtId="0" fontId="0" fillId="0" borderId="0" xfId="0" applyAlignment="1">
      <alignment vertical="center"/>
    </xf>
    <xf numFmtId="0" fontId="68" fillId="0" borderId="0" xfId="0" applyFont="1"/>
    <xf numFmtId="0" fontId="0" fillId="0" borderId="0" xfId="0" applyBorder="1" applyAlignment="1">
      <alignment horizontal="center" vertical="center"/>
    </xf>
    <xf numFmtId="165" fontId="6" fillId="6" borderId="89" xfId="0" applyNumberFormat="1" applyFont="1" applyFill="1" applyBorder="1" applyAlignment="1">
      <alignment horizontal="center"/>
    </xf>
    <xf numFmtId="165" fontId="6" fillId="6" borderId="91" xfId="0" applyNumberFormat="1" applyFont="1" applyFill="1" applyBorder="1" applyAlignment="1">
      <alignment horizontal="center"/>
    </xf>
    <xf numFmtId="0" fontId="68" fillId="4" borderId="0" xfId="0" applyFont="1" applyFill="1" applyBorder="1"/>
    <xf numFmtId="0" fontId="69" fillId="4" borderId="0" xfId="0" applyFont="1" applyFill="1" applyBorder="1" applyAlignment="1">
      <alignment horizontal="center" vertical="center"/>
    </xf>
    <xf numFmtId="164" fontId="69" fillId="4" borderId="0" xfId="0" applyNumberFormat="1" applyFont="1" applyFill="1" applyBorder="1" applyAlignment="1">
      <alignment horizontal="center" vertical="center"/>
    </xf>
    <xf numFmtId="0" fontId="70" fillId="4" borderId="0" xfId="0" applyFont="1" applyFill="1" applyBorder="1" applyAlignment="1">
      <alignment horizontal="center" vertical="center"/>
    </xf>
    <xf numFmtId="0" fontId="71" fillId="4" borderId="0" xfId="0" applyFont="1" applyFill="1" applyBorder="1"/>
    <xf numFmtId="0" fontId="0" fillId="0" borderId="0" xfId="0" applyAlignment="1">
      <alignment horizontal="center" vertical="center"/>
    </xf>
    <xf numFmtId="165" fontId="6" fillId="6" borderId="107" xfId="0" applyNumberFormat="1" applyFont="1" applyFill="1" applyBorder="1" applyAlignment="1">
      <alignment horizontal="center"/>
    </xf>
    <xf numFmtId="165" fontId="6" fillId="6" borderId="108" xfId="0" applyNumberFormat="1" applyFont="1" applyFill="1" applyBorder="1" applyAlignment="1">
      <alignment horizontal="center"/>
    </xf>
    <xf numFmtId="165" fontId="6" fillId="0" borderId="109" xfId="0" applyNumberFormat="1" applyFont="1" applyFill="1" applyBorder="1" applyAlignment="1">
      <alignment horizontal="center"/>
    </xf>
    <xf numFmtId="165" fontId="6" fillId="0" borderId="0" xfId="0" applyNumberFormat="1" applyFont="1" applyBorder="1"/>
    <xf numFmtId="0" fontId="0" fillId="4" borderId="113" xfId="0" applyFill="1" applyBorder="1"/>
    <xf numFmtId="0" fontId="68" fillId="4" borderId="114" xfId="0" applyFont="1" applyFill="1" applyBorder="1"/>
    <xf numFmtId="0" fontId="0" fillId="4" borderId="114" xfId="0" applyFill="1" applyBorder="1" applyAlignment="1">
      <alignment horizontal="center" vertical="center"/>
    </xf>
    <xf numFmtId="0" fontId="0" fillId="4" borderId="116" xfId="0" applyFill="1" applyBorder="1"/>
    <xf numFmtId="0" fontId="69" fillId="4" borderId="116" xfId="0" applyFont="1" applyFill="1" applyBorder="1" applyAlignment="1">
      <alignment vertical="center"/>
    </xf>
    <xf numFmtId="0" fontId="70" fillId="4" borderId="116" xfId="0" applyFont="1" applyFill="1" applyBorder="1" applyAlignment="1">
      <alignment horizontal="center" vertical="center"/>
    </xf>
    <xf numFmtId="0" fontId="70" fillId="4" borderId="116" xfId="0" applyFont="1" applyFill="1" applyBorder="1" applyAlignment="1">
      <alignment horizontal="center"/>
    </xf>
    <xf numFmtId="0" fontId="70" fillId="4" borderId="116" xfId="0" applyFont="1" applyFill="1" applyBorder="1"/>
    <xf numFmtId="0" fontId="70" fillId="4" borderId="117" xfId="0" applyFont="1" applyFill="1" applyBorder="1"/>
    <xf numFmtId="0" fontId="69" fillId="4" borderId="117" xfId="0" applyFont="1" applyFill="1" applyBorder="1" applyAlignment="1">
      <alignment vertical="center"/>
    </xf>
    <xf numFmtId="0" fontId="70" fillId="4" borderId="117" xfId="0" applyFont="1" applyFill="1" applyBorder="1" applyAlignment="1">
      <alignment horizontal="center" vertical="center"/>
    </xf>
    <xf numFmtId="0" fontId="70" fillId="4" borderId="117" xfId="0" applyFont="1" applyFill="1" applyBorder="1" applyAlignment="1">
      <alignment horizontal="center"/>
    </xf>
    <xf numFmtId="0" fontId="0" fillId="0" borderId="114" xfId="0" applyBorder="1"/>
    <xf numFmtId="0" fontId="74" fillId="4" borderId="116" xfId="0" applyFont="1" applyFill="1" applyBorder="1" applyAlignment="1">
      <alignment horizontal="center" vertical="center"/>
    </xf>
    <xf numFmtId="0" fontId="74" fillId="4" borderId="117" xfId="0" applyFont="1" applyFill="1" applyBorder="1" applyAlignment="1">
      <alignment horizontal="center" vertical="center"/>
    </xf>
    <xf numFmtId="0" fontId="9" fillId="0" borderId="0" xfId="0" applyFont="1" applyAlignment="1">
      <alignment horizontal="center" vertical="center"/>
    </xf>
    <xf numFmtId="0" fontId="75" fillId="4" borderId="86" xfId="0" applyFont="1" applyFill="1" applyBorder="1" applyAlignment="1">
      <alignment horizontal="center" vertical="center"/>
    </xf>
    <xf numFmtId="0" fontId="75" fillId="4" borderId="0" xfId="0" applyFont="1" applyFill="1" applyBorder="1" applyAlignment="1">
      <alignment horizontal="center" vertical="center"/>
    </xf>
    <xf numFmtId="0" fontId="78" fillId="4" borderId="0" xfId="0" applyFont="1" applyFill="1" applyBorder="1" applyAlignment="1">
      <alignment horizontal="center" vertical="center"/>
    </xf>
    <xf numFmtId="164" fontId="78" fillId="4" borderId="0" xfId="0" applyNumberFormat="1" applyFont="1" applyFill="1" applyBorder="1" applyAlignment="1">
      <alignment horizontal="center" vertical="center"/>
    </xf>
    <xf numFmtId="0" fontId="70" fillId="4" borderId="114" xfId="0" applyFont="1" applyFill="1" applyBorder="1" applyAlignment="1">
      <alignment horizontal="center" vertical="center"/>
    </xf>
    <xf numFmtId="0" fontId="70" fillId="4" borderId="115" xfId="0" applyFont="1" applyFill="1" applyBorder="1"/>
    <xf numFmtId="0" fontId="80" fillId="7" borderId="100" xfId="0" applyFont="1" applyFill="1" applyBorder="1" applyAlignment="1">
      <alignment horizontal="center"/>
    </xf>
    <xf numFmtId="0" fontId="81" fillId="4" borderId="0" xfId="0" applyFont="1" applyFill="1" applyBorder="1" applyAlignment="1">
      <alignment horizontal="center" vertical="center"/>
    </xf>
    <xf numFmtId="0" fontId="82" fillId="4" borderId="97" xfId="0" applyFont="1" applyFill="1" applyBorder="1" applyAlignment="1">
      <alignment horizontal="center" vertical="center"/>
    </xf>
    <xf numFmtId="0" fontId="73" fillId="6" borderId="98" xfId="0" applyFont="1" applyFill="1" applyBorder="1" applyAlignment="1">
      <alignment horizontal="left" vertical="center" wrapText="1"/>
    </xf>
    <xf numFmtId="165" fontId="73" fillId="6" borderId="98" xfId="0" applyNumberFormat="1" applyFont="1" applyFill="1" applyBorder="1" applyAlignment="1">
      <alignment horizontal="left" vertical="center" wrapText="1"/>
    </xf>
    <xf numFmtId="0" fontId="76" fillId="4" borderId="0" xfId="0" applyFont="1" applyFill="1" applyBorder="1" applyAlignment="1">
      <alignment horizontal="center" textRotation="90"/>
    </xf>
    <xf numFmtId="165" fontId="38" fillId="31" borderId="102" xfId="0" applyNumberFormat="1" applyFont="1" applyFill="1" applyBorder="1" applyAlignment="1">
      <alignment horizontal="center" vertical="center"/>
    </xf>
    <xf numFmtId="165" fontId="38" fillId="31" borderId="106" xfId="0" applyNumberFormat="1" applyFont="1" applyFill="1" applyBorder="1" applyAlignment="1">
      <alignment horizontal="center" vertical="center" wrapText="1"/>
    </xf>
    <xf numFmtId="165" fontId="6" fillId="6" borderId="115" xfId="0" applyNumberFormat="1" applyFont="1" applyFill="1" applyBorder="1" applyAlignment="1">
      <alignment horizontal="center"/>
    </xf>
    <xf numFmtId="165" fontId="6" fillId="6" borderId="90" xfId="0" applyNumberFormat="1" applyFont="1" applyFill="1" applyBorder="1" applyAlignment="1">
      <alignment horizontal="center"/>
    </xf>
    <xf numFmtId="165" fontId="6" fillId="0" borderId="117" xfId="0" applyNumberFormat="1" applyFont="1" applyFill="1" applyBorder="1" applyAlignment="1">
      <alignment horizontal="center"/>
    </xf>
    <xf numFmtId="165" fontId="6" fillId="0" borderId="117" xfId="0" applyNumberFormat="1" applyFont="1" applyBorder="1"/>
    <xf numFmtId="0" fontId="6" fillId="31" borderId="119" xfId="0" applyFont="1" applyFill="1" applyBorder="1"/>
    <xf numFmtId="0" fontId="6" fillId="31" borderId="120" xfId="0" applyFont="1" applyFill="1" applyBorder="1" applyAlignment="1">
      <alignment horizontal="center" vertical="center"/>
    </xf>
    <xf numFmtId="0" fontId="79" fillId="7" borderId="101" xfId="0" applyFont="1" applyFill="1" applyBorder="1" applyAlignment="1" applyProtection="1">
      <alignment vertical="center"/>
      <protection locked="0" hidden="1"/>
    </xf>
    <xf numFmtId="0" fontId="3" fillId="31" borderId="103" xfId="0" applyFont="1" applyFill="1" applyBorder="1" applyAlignment="1" applyProtection="1">
      <alignment horizontal="center" vertical="center" wrapText="1"/>
      <protection locked="0"/>
    </xf>
    <xf numFmtId="0" fontId="3" fillId="31" borderId="104" xfId="0" applyFont="1" applyFill="1" applyBorder="1" applyAlignment="1" applyProtection="1">
      <alignment horizontal="center" vertical="center" wrapText="1"/>
      <protection locked="0"/>
    </xf>
    <xf numFmtId="165" fontId="38" fillId="31" borderId="105" xfId="0" applyNumberFormat="1" applyFont="1" applyFill="1" applyBorder="1" applyAlignment="1" applyProtection="1">
      <alignment horizontal="center" vertical="center"/>
      <protection locked="0"/>
    </xf>
    <xf numFmtId="165" fontId="6" fillId="0" borderId="88" xfId="0" applyNumberFormat="1" applyFont="1" applyFill="1" applyBorder="1" applyAlignment="1" applyProtection="1">
      <alignment horizontal="center"/>
      <protection locked="0"/>
    </xf>
    <xf numFmtId="0" fontId="6" fillId="31" borderId="121" xfId="0" applyFont="1" applyFill="1" applyBorder="1"/>
    <xf numFmtId="0" fontId="83" fillId="6" borderId="122" xfId="0" applyFont="1" applyFill="1" applyBorder="1" applyAlignment="1">
      <alignment horizontal="center" vertical="center" wrapText="1"/>
    </xf>
    <xf numFmtId="0" fontId="54" fillId="4" borderId="0" xfId="0" applyFont="1" applyFill="1" applyBorder="1" applyAlignment="1">
      <alignment horizontal="left" vertical="top"/>
    </xf>
    <xf numFmtId="0" fontId="72" fillId="7" borderId="99" xfId="0" applyFont="1" applyFill="1" applyBorder="1" applyAlignment="1">
      <alignment vertical="center"/>
    </xf>
    <xf numFmtId="0" fontId="77" fillId="39" borderId="123" xfId="0" applyFont="1" applyFill="1" applyBorder="1" applyAlignment="1">
      <alignment vertical="center"/>
    </xf>
    <xf numFmtId="0" fontId="77" fillId="39" borderId="124" xfId="0" applyFont="1" applyFill="1" applyBorder="1" applyAlignment="1">
      <alignment vertical="center"/>
    </xf>
    <xf numFmtId="0" fontId="6" fillId="40" borderId="125" xfId="0" applyFont="1" applyFill="1" applyBorder="1"/>
    <xf numFmtId="0" fontId="6" fillId="31" borderId="118" xfId="0" applyFont="1" applyFill="1" applyBorder="1" applyProtection="1"/>
    <xf numFmtId="165" fontId="6" fillId="0" borderId="110" xfId="0" applyNumberFormat="1" applyFont="1" applyBorder="1" applyProtection="1"/>
    <xf numFmtId="165" fontId="6" fillId="0" borderId="111" xfId="0" applyNumberFormat="1" applyFont="1" applyFill="1" applyBorder="1" applyAlignment="1" applyProtection="1">
      <alignment horizontal="center"/>
    </xf>
    <xf numFmtId="165" fontId="6" fillId="0" borderId="112" xfId="0" applyNumberFormat="1" applyFont="1" applyFill="1" applyBorder="1" applyAlignment="1" applyProtection="1">
      <alignment horizontal="center"/>
    </xf>
    <xf numFmtId="0" fontId="10" fillId="4" borderId="34" xfId="0" applyFont="1" applyFill="1" applyBorder="1" applyAlignment="1" applyProtection="1">
      <alignment horizontal="left" vertical="center"/>
      <protection hidden="1"/>
    </xf>
    <xf numFmtId="0" fontId="10" fillId="4" borderId="0" xfId="0" applyFont="1" applyFill="1" applyBorder="1" applyAlignment="1" applyProtection="1">
      <alignment horizontal="left" vertical="center"/>
      <protection hidden="1"/>
    </xf>
    <xf numFmtId="0" fontId="84" fillId="4" borderId="0" xfId="0" applyFont="1" applyFill="1" applyBorder="1" applyAlignment="1" applyProtection="1">
      <alignment horizontal="left" vertical="center" indent="1"/>
      <protection hidden="1"/>
    </xf>
    <xf numFmtId="164" fontId="10" fillId="4" borderId="0" xfId="0" applyNumberFormat="1" applyFont="1" applyFill="1" applyBorder="1" applyAlignment="1" applyProtection="1">
      <alignment horizontal="left" vertical="center"/>
      <protection hidden="1"/>
    </xf>
    <xf numFmtId="164" fontId="85" fillId="4" borderId="0" xfId="0" applyNumberFormat="1" applyFont="1" applyFill="1" applyBorder="1" applyAlignment="1" applyProtection="1">
      <alignment horizontal="right" vertical="center"/>
      <protection hidden="1"/>
    </xf>
    <xf numFmtId="164" fontId="10" fillId="4" borderId="25" xfId="0" applyNumberFormat="1" applyFont="1" applyFill="1" applyBorder="1" applyAlignment="1" applyProtection="1">
      <alignment horizontal="left" vertical="center"/>
      <protection hidden="1"/>
    </xf>
    <xf numFmtId="0" fontId="10" fillId="4" borderId="25" xfId="0" applyFont="1" applyFill="1" applyBorder="1" applyAlignment="1" applyProtection="1">
      <alignment horizontal="left" vertical="center"/>
      <protection hidden="1"/>
    </xf>
    <xf numFmtId="0" fontId="10" fillId="0" borderId="0" xfId="0" applyFont="1" applyFill="1" applyAlignment="1" applyProtection="1">
      <alignment horizontal="left" vertical="center"/>
      <protection hidden="1"/>
    </xf>
    <xf numFmtId="180" fontId="6" fillId="0" borderId="13" xfId="0" applyNumberFormat="1" applyFont="1" applyBorder="1"/>
    <xf numFmtId="0" fontId="2" fillId="7" borderId="14" xfId="0" applyFont="1" applyFill="1" applyBorder="1" applyAlignment="1" applyProtection="1">
      <alignment horizontal="center" vertical="center"/>
      <protection hidden="1"/>
    </xf>
    <xf numFmtId="0" fontId="2" fillId="7" borderId="15" xfId="0" applyFont="1" applyFill="1" applyBorder="1" applyAlignment="1" applyProtection="1">
      <alignment horizontal="center" vertical="center"/>
      <protection hidden="1"/>
    </xf>
    <xf numFmtId="0" fontId="2" fillId="7" borderId="16" xfId="0" applyFont="1" applyFill="1" applyBorder="1" applyAlignment="1" applyProtection="1">
      <alignment horizontal="center" vertical="center"/>
      <protection hidden="1"/>
    </xf>
    <xf numFmtId="0" fontId="19" fillId="0" borderId="34"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19" fillId="0" borderId="41" xfId="0" applyFont="1" applyFill="1" applyBorder="1" applyAlignment="1" applyProtection="1">
      <alignment vertical="center"/>
      <protection locked="0"/>
    </xf>
    <xf numFmtId="0" fontId="19" fillId="0" borderId="42" xfId="0" applyFont="1" applyFill="1" applyBorder="1" applyAlignment="1" applyProtection="1">
      <alignment vertical="center"/>
      <protection locked="0"/>
    </xf>
    <xf numFmtId="170" fontId="20" fillId="8" borderId="15" xfId="0" applyNumberFormat="1" applyFont="1" applyFill="1" applyBorder="1" applyAlignment="1" applyProtection="1">
      <alignment horizontal="center" vertical="center"/>
      <protection hidden="1"/>
    </xf>
    <xf numFmtId="170" fontId="20" fillId="8" borderId="16" xfId="0" applyNumberFormat="1" applyFont="1" applyFill="1" applyBorder="1" applyAlignment="1" applyProtection="1">
      <alignment horizontal="center" vertical="center"/>
      <protection hidden="1"/>
    </xf>
    <xf numFmtId="0" fontId="6" fillId="0" borderId="18"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165" fontId="6" fillId="0" borderId="37" xfId="0" applyNumberFormat="1" applyFont="1" applyFill="1" applyBorder="1" applyAlignment="1" applyProtection="1">
      <alignment vertical="center"/>
      <protection locked="0"/>
    </xf>
    <xf numFmtId="165" fontId="6" fillId="0" borderId="23" xfId="0" applyNumberFormat="1" applyFont="1" applyFill="1" applyBorder="1" applyAlignment="1" applyProtection="1">
      <alignment vertical="center"/>
      <protection locked="0"/>
    </xf>
    <xf numFmtId="165" fontId="21" fillId="10" borderId="37" xfId="0" applyNumberFormat="1" applyFont="1" applyFill="1" applyBorder="1" applyAlignment="1" applyProtection="1">
      <alignment vertical="center"/>
      <protection locked="0"/>
    </xf>
    <xf numFmtId="165" fontId="21" fillId="10" borderId="23" xfId="0" applyNumberFormat="1" applyFont="1" applyFill="1" applyBorder="1" applyAlignment="1" applyProtection="1">
      <alignment vertical="center"/>
      <protection locked="0"/>
    </xf>
    <xf numFmtId="0" fontId="21" fillId="10" borderId="37" xfId="0" applyFont="1" applyFill="1" applyBorder="1" applyAlignment="1" applyProtection="1">
      <protection locked="0"/>
    </xf>
    <xf numFmtId="0" fontId="21" fillId="10" borderId="23" xfId="0" applyFont="1" applyFill="1" applyBorder="1" applyAlignment="1" applyProtection="1">
      <protection locked="0"/>
    </xf>
    <xf numFmtId="165" fontId="6" fillId="0" borderId="78" xfId="0" applyNumberFormat="1" applyFont="1" applyFill="1" applyBorder="1" applyAlignment="1" applyProtection="1">
      <alignment vertical="center"/>
      <protection locked="0"/>
    </xf>
    <xf numFmtId="165" fontId="6" fillId="0" borderId="79" xfId="0" applyNumberFormat="1" applyFont="1" applyFill="1" applyBorder="1" applyAlignment="1" applyProtection="1">
      <alignment vertical="center"/>
      <protection locked="0"/>
    </xf>
    <xf numFmtId="0" fontId="12" fillId="7" borderId="64" xfId="0" applyFont="1" applyFill="1" applyBorder="1" applyAlignment="1" applyProtection="1">
      <alignment horizontal="right" vertical="center"/>
      <protection hidden="1"/>
    </xf>
    <xf numFmtId="0" fontId="0" fillId="7" borderId="64" xfId="0" applyFill="1" applyBorder="1" applyAlignment="1" applyProtection="1">
      <alignment vertical="center"/>
      <protection hidden="1"/>
    </xf>
    <xf numFmtId="0" fontId="9" fillId="7" borderId="63" xfId="0" applyFont="1" applyFill="1" applyBorder="1" applyAlignment="1">
      <alignment horizontal="center"/>
    </xf>
    <xf numFmtId="0" fontId="9" fillId="7" borderId="64" xfId="0" applyFont="1" applyFill="1" applyBorder="1" applyAlignment="1">
      <alignment horizontal="center"/>
    </xf>
    <xf numFmtId="0" fontId="56" fillId="4" borderId="63" xfId="0" applyFont="1" applyFill="1" applyBorder="1" applyAlignment="1" applyProtection="1">
      <alignment horizontal="left" vertical="center" indent="1"/>
      <protection hidden="1"/>
    </xf>
    <xf numFmtId="0" fontId="56" fillId="4" borderId="64" xfId="0" applyFont="1" applyFill="1" applyBorder="1" applyAlignment="1" applyProtection="1">
      <alignment horizontal="left" vertical="center" indent="1"/>
      <protection hidden="1"/>
    </xf>
    <xf numFmtId="0" fontId="56" fillId="4" borderId="65" xfId="0" applyFont="1" applyFill="1" applyBorder="1" applyAlignment="1" applyProtection="1">
      <alignment horizontal="left" vertical="center" indent="1"/>
      <protection hidden="1"/>
    </xf>
    <xf numFmtId="0" fontId="12" fillId="4" borderId="63" xfId="0" applyFont="1" applyFill="1" applyBorder="1" applyAlignment="1" applyProtection="1">
      <alignment horizontal="right" vertical="center"/>
      <protection hidden="1"/>
    </xf>
    <xf numFmtId="0" fontId="0" fillId="4" borderId="64" xfId="0" applyFill="1" applyBorder="1" applyAlignment="1">
      <alignment horizontal="right" vertical="center"/>
    </xf>
    <xf numFmtId="0" fontId="12" fillId="4" borderId="64" xfId="0" applyFont="1" applyFill="1" applyBorder="1" applyAlignment="1" applyProtection="1">
      <alignment horizontal="right" vertical="center"/>
      <protection hidden="1"/>
    </xf>
    <xf numFmtId="0" fontId="0" fillId="4" borderId="64" xfId="0" applyFill="1" applyBorder="1" applyAlignment="1" applyProtection="1">
      <alignment vertical="center"/>
      <protection hidden="1"/>
    </xf>
    <xf numFmtId="0" fontId="42" fillId="4" borderId="46" xfId="0" applyFont="1" applyFill="1" applyBorder="1" applyAlignment="1" applyProtection="1">
      <alignment horizontal="left" vertical="center"/>
      <protection hidden="1"/>
    </xf>
    <xf numFmtId="0" fontId="42" fillId="4" borderId="0" xfId="0" applyFont="1" applyFill="1" applyBorder="1" applyAlignment="1" applyProtection="1">
      <alignment horizontal="left" vertical="center"/>
      <protection hidden="1"/>
    </xf>
    <xf numFmtId="0" fontId="42" fillId="4" borderId="47" xfId="0" applyFont="1" applyFill="1" applyBorder="1" applyAlignment="1" applyProtection="1">
      <alignment horizontal="left" vertical="center"/>
      <protection hidden="1"/>
    </xf>
    <xf numFmtId="0" fontId="42" fillId="4" borderId="48" xfId="0" applyFont="1" applyFill="1" applyBorder="1" applyAlignment="1" applyProtection="1">
      <alignment horizontal="left" vertical="top" wrapText="1"/>
      <protection hidden="1"/>
    </xf>
    <xf numFmtId="0" fontId="42" fillId="4" borderId="49" xfId="0" applyFont="1" applyFill="1" applyBorder="1" applyAlignment="1" applyProtection="1">
      <alignment horizontal="left" vertical="top" wrapText="1"/>
      <protection hidden="1"/>
    </xf>
    <xf numFmtId="0" fontId="42" fillId="4" borderId="50" xfId="0" applyFont="1" applyFill="1" applyBorder="1" applyAlignment="1" applyProtection="1">
      <alignment horizontal="left" vertical="top" wrapText="1"/>
      <protection hidden="1"/>
    </xf>
    <xf numFmtId="164" fontId="41" fillId="4" borderId="43" xfId="0" applyNumberFormat="1" applyFont="1" applyFill="1" applyBorder="1" applyAlignment="1" applyProtection="1">
      <protection hidden="1"/>
    </xf>
    <xf numFmtId="164" fontId="41" fillId="4" borderId="46" xfId="0" applyNumberFormat="1" applyFont="1" applyFill="1" applyBorder="1" applyAlignment="1" applyProtection="1">
      <protection hidden="1"/>
    </xf>
    <xf numFmtId="0" fontId="46" fillId="4" borderId="0" xfId="0" applyFont="1" applyFill="1" applyBorder="1" applyAlignment="1" applyProtection="1">
      <alignment horizontal="right" vertical="center"/>
      <protection hidden="1"/>
    </xf>
    <xf numFmtId="0" fontId="46" fillId="4" borderId="47" xfId="0" applyFont="1" applyFill="1" applyBorder="1" applyAlignment="1" applyProtection="1">
      <alignment horizontal="right" vertical="center"/>
      <protection hidden="1"/>
    </xf>
    <xf numFmtId="171" fontId="59" fillId="7" borderId="63" xfId="0" applyNumberFormat="1" applyFont="1" applyFill="1" applyBorder="1" applyAlignment="1" applyProtection="1">
      <alignment horizontal="left" vertical="center" indent="1"/>
      <protection hidden="1"/>
    </xf>
    <xf numFmtId="171" fontId="59" fillId="7" borderId="64" xfId="0" applyNumberFormat="1" applyFont="1" applyFill="1" applyBorder="1" applyAlignment="1" applyProtection="1">
      <alignment horizontal="left" vertical="center" indent="1"/>
      <protection hidden="1"/>
    </xf>
    <xf numFmtId="0" fontId="12" fillId="7" borderId="65" xfId="0" applyFont="1" applyFill="1" applyBorder="1" applyAlignment="1" applyProtection="1">
      <alignment horizontal="right" vertical="center"/>
      <protection hidden="1"/>
    </xf>
    <xf numFmtId="0" fontId="60" fillId="7" borderId="63" xfId="0" applyFont="1" applyFill="1" applyBorder="1" applyAlignment="1" applyProtection="1">
      <alignment horizontal="center"/>
      <protection hidden="1"/>
    </xf>
    <xf numFmtId="0" fontId="60" fillId="7" borderId="64" xfId="0" applyFont="1" applyFill="1" applyBorder="1" applyAlignment="1" applyProtection="1">
      <alignment horizontal="center"/>
      <protection hidden="1"/>
    </xf>
    <xf numFmtId="0" fontId="60" fillId="7" borderId="65" xfId="0" applyFont="1" applyFill="1" applyBorder="1" applyAlignment="1" applyProtection="1">
      <alignment horizontal="center"/>
      <protection hidden="1"/>
    </xf>
    <xf numFmtId="0" fontId="12" fillId="7" borderId="64" xfId="0" applyFont="1" applyFill="1" applyBorder="1" applyAlignment="1" applyProtection="1">
      <alignment horizontal="left" vertical="center"/>
      <protection hidden="1"/>
    </xf>
    <xf numFmtId="0" fontId="14" fillId="4" borderId="63" xfId="0" applyFont="1" applyFill="1" applyBorder="1" applyAlignment="1" applyProtection="1">
      <alignment vertical="center"/>
      <protection hidden="1"/>
    </xf>
    <xf numFmtId="0" fontId="14" fillId="4" borderId="64" xfId="0" applyFont="1" applyFill="1" applyBorder="1" applyAlignment="1" applyProtection="1">
      <alignment vertical="center"/>
      <protection hidden="1"/>
    </xf>
    <xf numFmtId="0" fontId="14" fillId="4" borderId="65" xfId="0" applyFont="1" applyFill="1" applyBorder="1" applyAlignment="1" applyProtection="1">
      <alignment vertical="center"/>
      <protection hidden="1"/>
    </xf>
    <xf numFmtId="0" fontId="63" fillId="34" borderId="80" xfId="0" applyFont="1" applyFill="1" applyBorder="1" applyAlignment="1" applyProtection="1">
      <alignment horizontal="left" vertical="center"/>
      <protection locked="0" hidden="1"/>
    </xf>
    <xf numFmtId="0" fontId="63" fillId="34" borderId="81" xfId="0" applyFont="1" applyFill="1" applyBorder="1" applyAlignment="1" applyProtection="1">
      <alignment horizontal="left" vertical="center"/>
      <protection locked="0" hidden="1"/>
    </xf>
    <xf numFmtId="0" fontId="63" fillId="35" borderId="80" xfId="0" applyFont="1" applyFill="1" applyBorder="1" applyAlignment="1" applyProtection="1">
      <alignment horizontal="left" vertical="center"/>
      <protection locked="0" hidden="1"/>
    </xf>
    <xf numFmtId="0" fontId="63" fillId="35" borderId="81" xfId="0" applyFont="1" applyFill="1" applyBorder="1" applyAlignment="1" applyProtection="1">
      <alignment horizontal="left" vertical="center"/>
      <protection locked="0" hidden="1"/>
    </xf>
    <xf numFmtId="0" fontId="63" fillId="36" borderId="80" xfId="0" applyFont="1" applyFill="1" applyBorder="1" applyAlignment="1" applyProtection="1">
      <alignment horizontal="left" vertical="center"/>
      <protection locked="0" hidden="1"/>
    </xf>
    <xf numFmtId="0" fontId="63" fillId="36" borderId="81" xfId="0" applyFont="1" applyFill="1" applyBorder="1" applyAlignment="1" applyProtection="1">
      <alignment horizontal="left" vertical="center"/>
      <protection locked="0" hidden="1"/>
    </xf>
    <xf numFmtId="0" fontId="72" fillId="7" borderId="99" xfId="0" applyFont="1" applyFill="1" applyBorder="1" applyAlignment="1">
      <alignment horizontal="right" vertical="center"/>
    </xf>
    <xf numFmtId="0" fontId="12" fillId="7" borderId="99" xfId="0" applyFont="1" applyFill="1" applyBorder="1" applyAlignment="1">
      <alignment horizontal="center" vertical="center"/>
    </xf>
    <xf numFmtId="0" fontId="3" fillId="4" borderId="14" xfId="0" applyFont="1" applyFill="1" applyBorder="1" applyAlignment="1" applyProtection="1">
      <alignment horizontal="center"/>
      <protection hidden="1"/>
    </xf>
    <xf numFmtId="0" fontId="3" fillId="4" borderId="15" xfId="0" applyFont="1" applyFill="1" applyBorder="1" applyAlignment="1" applyProtection="1">
      <alignment horizontal="center"/>
      <protection hidden="1"/>
    </xf>
    <xf numFmtId="0" fontId="3" fillId="4" borderId="39" xfId="0" applyFont="1" applyFill="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20"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6" fillId="0" borderId="21" xfId="0" applyFont="1" applyBorder="1" applyAlignment="1" applyProtection="1">
      <alignment horizontal="center"/>
      <protection hidden="1"/>
    </xf>
    <xf numFmtId="0" fontId="38" fillId="4" borderId="14" xfId="0" applyFont="1" applyFill="1" applyBorder="1" applyAlignment="1">
      <alignment horizontal="left"/>
    </xf>
    <xf numFmtId="0" fontId="38" fillId="4" borderId="15" xfId="0" applyFont="1" applyFill="1" applyBorder="1" applyAlignment="1">
      <alignment horizontal="left"/>
    </xf>
    <xf numFmtId="0" fontId="3" fillId="0" borderId="93" xfId="0" applyFont="1" applyBorder="1" applyAlignment="1" applyProtection="1">
      <alignment horizontal="center"/>
      <protection hidden="1"/>
    </xf>
    <xf numFmtId="0" fontId="3" fillId="0" borderId="94" xfId="0" applyFont="1" applyBorder="1" applyAlignment="1" applyProtection="1">
      <alignment horizontal="center"/>
      <protection hidden="1"/>
    </xf>
    <xf numFmtId="0" fontId="3" fillId="0" borderId="95" xfId="0" applyFont="1" applyBorder="1" applyAlignment="1" applyProtection="1">
      <alignment horizontal="center"/>
      <protection hidden="1"/>
    </xf>
    <xf numFmtId="0" fontId="6" fillId="31" borderId="57" xfId="0" applyFont="1" applyFill="1" applyBorder="1" applyAlignment="1" applyProtection="1">
      <alignment horizontal="center"/>
    </xf>
    <xf numFmtId="0" fontId="6" fillId="31" borderId="56" xfId="0" applyFont="1" applyFill="1" applyBorder="1" applyAlignment="1" applyProtection="1">
      <alignment horizontal="center"/>
    </xf>
    <xf numFmtId="0" fontId="6" fillId="31" borderId="58" xfId="0" applyFont="1" applyFill="1" applyBorder="1" applyAlignment="1" applyProtection="1">
      <alignment horizontal="center"/>
    </xf>
    <xf numFmtId="0" fontId="6" fillId="31" borderId="55" xfId="0" applyFont="1" applyFill="1" applyBorder="1" applyAlignment="1" applyProtection="1">
      <alignment horizontal="center"/>
    </xf>
    <xf numFmtId="174" fontId="6" fillId="31" borderId="52" xfId="0" applyNumberFormat="1" applyFont="1" applyFill="1" applyBorder="1" applyAlignment="1" applyProtection="1">
      <alignment horizontal="center"/>
      <protection locked="0" hidden="1"/>
    </xf>
    <xf numFmtId="174" fontId="6" fillId="31" borderId="36" xfId="0" applyNumberFormat="1" applyFont="1" applyFill="1" applyBorder="1" applyAlignment="1" applyProtection="1">
      <alignment horizontal="center"/>
      <protection locked="0" hidden="1"/>
    </xf>
    <xf numFmtId="174" fontId="6" fillId="31" borderId="53" xfId="0" applyNumberFormat="1" applyFont="1" applyFill="1" applyBorder="1" applyAlignment="1" applyProtection="1">
      <alignment horizontal="center"/>
      <protection locked="0" hidden="1"/>
    </xf>
    <xf numFmtId="174" fontId="6" fillId="31" borderId="26" xfId="0" applyNumberFormat="1" applyFont="1" applyFill="1" applyBorder="1" applyAlignment="1" applyProtection="1">
      <alignment horizontal="center"/>
      <protection locked="0" hidden="1"/>
    </xf>
    <xf numFmtId="0" fontId="6" fillId="31" borderId="14" xfId="0" applyFont="1" applyFill="1" applyBorder="1" applyAlignment="1" applyProtection="1">
      <alignment horizontal="center" vertical="center" wrapText="1"/>
    </xf>
    <xf numFmtId="0" fontId="6" fillId="31" borderId="39" xfId="0" applyFont="1" applyFill="1" applyBorder="1" applyAlignment="1" applyProtection="1">
      <alignment horizontal="center" vertical="center" wrapText="1"/>
    </xf>
    <xf numFmtId="0" fontId="6" fillId="31" borderId="14" xfId="0" applyFont="1" applyFill="1" applyBorder="1" applyAlignment="1" applyProtection="1">
      <alignment horizontal="center" vertical="center" wrapText="1"/>
      <protection hidden="1"/>
    </xf>
    <xf numFmtId="0" fontId="6" fillId="31" borderId="15" xfId="0" applyFont="1" applyFill="1" applyBorder="1" applyAlignment="1" applyProtection="1">
      <alignment horizontal="center" vertical="center" wrapText="1"/>
      <protection hidden="1"/>
    </xf>
    <xf numFmtId="0" fontId="6" fillId="31" borderId="39" xfId="0" applyFont="1" applyFill="1" applyBorder="1" applyAlignment="1" applyProtection="1">
      <alignment horizontal="center" vertical="center" wrapText="1"/>
      <protection hidden="1"/>
    </xf>
    <xf numFmtId="0" fontId="6" fillId="0" borderId="37"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38"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31" borderId="52" xfId="0" applyFont="1" applyFill="1" applyBorder="1" applyAlignment="1">
      <alignment horizontal="center" wrapText="1"/>
    </xf>
    <xf numFmtId="0" fontId="6" fillId="31" borderId="34" xfId="0" applyFont="1" applyFill="1" applyBorder="1" applyAlignment="1">
      <alignment horizontal="center" wrapText="1"/>
    </xf>
    <xf numFmtId="0" fontId="6" fillId="31" borderId="36" xfId="0" applyFont="1" applyFill="1" applyBorder="1" applyAlignment="1">
      <alignment horizontal="center" wrapText="1"/>
    </xf>
    <xf numFmtId="0" fontId="6" fillId="31" borderId="53" xfId="0" applyFont="1" applyFill="1" applyBorder="1" applyAlignment="1">
      <alignment horizontal="center" wrapText="1"/>
    </xf>
    <xf numFmtId="0" fontId="6" fillId="31" borderId="25" xfId="0" applyFont="1" applyFill="1" applyBorder="1" applyAlignment="1">
      <alignment horizontal="center" wrapText="1"/>
    </xf>
    <xf numFmtId="0" fontId="6" fillId="31" borderId="26" xfId="0" applyFont="1" applyFill="1" applyBorder="1" applyAlignment="1">
      <alignment horizontal="center" wrapText="1"/>
    </xf>
    <xf numFmtId="0" fontId="6" fillId="31" borderId="12" xfId="0" applyFont="1" applyFill="1" applyBorder="1" applyAlignment="1" applyProtection="1">
      <alignment horizontal="center" textRotation="90"/>
    </xf>
    <xf numFmtId="0" fontId="6" fillId="31" borderId="51" xfId="0" applyFont="1" applyFill="1" applyBorder="1" applyAlignment="1" applyProtection="1">
      <alignment horizontal="center" textRotation="90"/>
    </xf>
    <xf numFmtId="0" fontId="6" fillId="31" borderId="12" xfId="0" applyFont="1" applyFill="1" applyBorder="1" applyAlignment="1" applyProtection="1">
      <alignment textRotation="90"/>
    </xf>
    <xf numFmtId="0" fontId="6" fillId="31" borderId="51" xfId="0" applyFont="1" applyFill="1" applyBorder="1" applyAlignment="1" applyProtection="1">
      <alignment textRotation="90"/>
    </xf>
    <xf numFmtId="0" fontId="6" fillId="31" borderId="12" xfId="0" applyFont="1" applyFill="1" applyBorder="1" applyAlignment="1" applyProtection="1">
      <alignment horizontal="center" vertical="center" wrapText="1"/>
    </xf>
    <xf numFmtId="0" fontId="6" fillId="31" borderId="51" xfId="0" applyFont="1" applyFill="1" applyBorder="1" applyAlignment="1" applyProtection="1">
      <alignment horizontal="center" vertical="center" wrapText="1"/>
    </xf>
    <xf numFmtId="0" fontId="6" fillId="31" borderId="15" xfId="0" applyFont="1" applyFill="1" applyBorder="1" applyAlignment="1" applyProtection="1">
      <alignment horizontal="center" wrapText="1"/>
    </xf>
    <xf numFmtId="0" fontId="6" fillId="31" borderId="39" xfId="0" applyFont="1" applyFill="1" applyBorder="1" applyAlignment="1" applyProtection="1">
      <alignment horizontal="center" wrapText="1"/>
    </xf>
    <xf numFmtId="0" fontId="19" fillId="31" borderId="14" xfId="0" applyFont="1" applyFill="1" applyBorder="1" applyAlignment="1" applyProtection="1">
      <alignment horizontal="center"/>
    </xf>
    <xf numFmtId="0" fontId="19" fillId="31" borderId="39" xfId="0" applyFont="1" applyFill="1" applyBorder="1" applyAlignment="1" applyProtection="1">
      <alignment horizontal="center"/>
    </xf>
  </cellXfs>
  <cellStyles count="1495">
    <cellStyle name="aujourdhui" xfId="459" xr:uid="{00000000-0005-0000-0000-000000000000}"/>
    <cellStyle name="coloré1" xfId="460" xr:uid="{00000000-0005-0000-0000-000001000000}"/>
    <cellStyle name="coloré1 2" xfId="461" xr:uid="{00000000-0005-0000-0000-000002000000}"/>
    <cellStyle name="coloré1 3" xfId="462" xr:uid="{00000000-0005-0000-0000-000003000000}"/>
    <cellStyle name="coloré2" xfId="463" xr:uid="{00000000-0005-0000-0000-000004000000}"/>
    <cellStyle name="coloré2 2" xfId="464" xr:uid="{00000000-0005-0000-0000-000005000000}"/>
    <cellStyle name="événement1" xfId="465" xr:uid="{00000000-0005-0000-0000-000006000000}"/>
    <cellStyle name="événement2" xfId="466" xr:uid="{00000000-0005-0000-0000-000007000000}"/>
    <cellStyle name="événement2 2" xfId="467" xr:uid="{00000000-0005-0000-0000-000008000000}"/>
    <cellStyle name="événement3" xfId="468" xr:uid="{00000000-0005-0000-0000-000009000000}"/>
    <cellStyle name="événement4" xfId="469" xr:uid="{00000000-0005-0000-0000-00000A000000}"/>
    <cellStyle name="événement5" xfId="470" xr:uid="{00000000-0005-0000-0000-00000B000000}"/>
    <cellStyle name="Férié petit calendrier" xfId="471" xr:uid="{00000000-0005-0000-0000-00000C000000}"/>
    <cellStyle name="Lien hypertexte" xfId="1343" builtinId="8" hidden="1"/>
    <cellStyle name="Lien hypertexte" xfId="1375" builtinId="8" hidden="1"/>
    <cellStyle name="Lien hypertexte" xfId="1407" builtinId="8" hidden="1"/>
    <cellStyle name="Lien hypertexte" xfId="1439" builtinId="8" hidden="1"/>
    <cellStyle name="Lien hypertexte" xfId="1471" builtinId="8" hidden="1"/>
    <cellStyle name="Lien hypertexte" xfId="1485" builtinId="8" hidden="1"/>
    <cellStyle name="Lien hypertexte" xfId="1453" builtinId="8" hidden="1"/>
    <cellStyle name="Lien hypertexte" xfId="1421" builtinId="8" hidden="1"/>
    <cellStyle name="Lien hypertexte" xfId="1389" builtinId="8" hidden="1"/>
    <cellStyle name="Lien hypertexte" xfId="1357" builtinId="8" hidden="1"/>
    <cellStyle name="Lien hypertexte" xfId="1325" builtinId="8" hidden="1"/>
    <cellStyle name="Lien hypertexte" xfId="1293" builtinId="8" hidden="1"/>
    <cellStyle name="Lien hypertexte" xfId="1261" builtinId="8" hidden="1"/>
    <cellStyle name="Lien hypertexte" xfId="1229" builtinId="8" hidden="1"/>
    <cellStyle name="Lien hypertexte" xfId="1197" builtinId="8" hidden="1"/>
    <cellStyle name="Lien hypertexte" xfId="1165" builtinId="8" hidden="1"/>
    <cellStyle name="Lien hypertexte" xfId="1133" builtinId="8" hidden="1"/>
    <cellStyle name="Lien hypertexte" xfId="1101" builtinId="8" hidden="1"/>
    <cellStyle name="Lien hypertexte" xfId="1069" builtinId="8" hidden="1"/>
    <cellStyle name="Lien hypertexte" xfId="1037" builtinId="8" hidden="1"/>
    <cellStyle name="Lien hypertexte" xfId="1005" builtinId="8" hidden="1"/>
    <cellStyle name="Lien hypertexte" xfId="973" builtinId="8" hidden="1"/>
    <cellStyle name="Lien hypertexte" xfId="941" builtinId="8" hidden="1"/>
    <cellStyle name="Lien hypertexte" xfId="909" builtinId="8" hidden="1"/>
    <cellStyle name="Lien hypertexte" xfId="876" builtinId="8" hidden="1"/>
    <cellStyle name="Lien hypertexte" xfId="844" builtinId="8" hidden="1"/>
    <cellStyle name="Lien hypertexte" xfId="812" builtinId="8" hidden="1"/>
    <cellStyle name="Lien hypertexte" xfId="780" builtinId="8" hidden="1"/>
    <cellStyle name="Lien hypertexte" xfId="748" builtinId="8" hidden="1"/>
    <cellStyle name="Lien hypertexte" xfId="716" builtinId="8" hidden="1"/>
    <cellStyle name="Lien hypertexte" xfId="684" builtinId="8" hidden="1"/>
    <cellStyle name="Lien hypertexte" xfId="652" builtinId="8" hidden="1"/>
    <cellStyle name="Lien hypertexte" xfId="620" builtinId="8" hidden="1"/>
    <cellStyle name="Lien hypertexte" xfId="588" builtinId="8" hidden="1"/>
    <cellStyle name="Lien hypertexte" xfId="556" builtinId="8" hidden="1"/>
    <cellStyle name="Lien hypertexte" xfId="524" builtinId="8" hidden="1"/>
    <cellStyle name="Lien hypertexte" xfId="492" builtinId="8" hidden="1"/>
    <cellStyle name="Lien hypertexte" xfId="439" builtinId="8" hidden="1"/>
    <cellStyle name="Lien hypertexte" xfId="407" builtinId="8" hidden="1"/>
    <cellStyle name="Lien hypertexte" xfId="375" builtinId="8" hidden="1"/>
    <cellStyle name="Lien hypertexte" xfId="343" builtinId="8" hidden="1"/>
    <cellStyle name="Lien hypertexte" xfId="311" builtinId="8" hidden="1"/>
    <cellStyle name="Lien hypertexte" xfId="279" builtinId="8" hidden="1"/>
    <cellStyle name="Lien hypertexte" xfId="247" builtinId="8" hidden="1"/>
    <cellStyle name="Lien hypertexte" xfId="215" builtinId="8" hidden="1"/>
    <cellStyle name="Lien hypertexte" xfId="183" builtinId="8" hidden="1"/>
    <cellStyle name="Lien hypertexte" xfId="151" builtinId="8" hidden="1"/>
    <cellStyle name="Lien hypertexte" xfId="119" builtinId="8" hidden="1"/>
    <cellStyle name="Lien hypertexte" xfId="87" builtinId="8" hidden="1"/>
    <cellStyle name="Lien hypertexte" xfId="49" builtinId="8" hidden="1"/>
    <cellStyle name="Lien hypertexte" xfId="69" builtinId="8" hidden="1"/>
    <cellStyle name="Lien hypertexte" xfId="71" builtinId="8" hidden="1"/>
    <cellStyle name="Lien hypertexte" xfId="17" builtinId="8" hidden="1"/>
    <cellStyle name="Lien hypertexte" xfId="11" builtinId="8" hidden="1"/>
    <cellStyle name="Lien hypertexte" xfId="9" builtinId="8" hidden="1"/>
    <cellStyle name="Lien hypertexte" xfId="15" builtinId="8" hidden="1"/>
    <cellStyle name="Lien hypertexte" xfId="79" builtinId="8" hidden="1"/>
    <cellStyle name="Lien hypertexte" xfId="67" builtinId="8" hidden="1"/>
    <cellStyle name="Lien hypertexte" xfId="45" builtinId="8" hidden="1"/>
    <cellStyle name="Lien hypertexte" xfId="91" builtinId="8" hidden="1"/>
    <cellStyle name="Lien hypertexte" xfId="123" builtinId="8" hidden="1"/>
    <cellStyle name="Lien hypertexte" xfId="155" builtinId="8" hidden="1"/>
    <cellStyle name="Lien hypertexte" xfId="187" builtinId="8" hidden="1"/>
    <cellStyle name="Lien hypertexte" xfId="219" builtinId="8" hidden="1"/>
    <cellStyle name="Lien hypertexte" xfId="251" builtinId="8" hidden="1"/>
    <cellStyle name="Lien hypertexte" xfId="283" builtinId="8" hidden="1"/>
    <cellStyle name="Lien hypertexte" xfId="315" builtinId="8" hidden="1"/>
    <cellStyle name="Lien hypertexte" xfId="348" builtinId="8" hidden="1"/>
    <cellStyle name="Lien hypertexte" xfId="379" builtinId="8" hidden="1"/>
    <cellStyle name="Lien hypertexte" xfId="411" builtinId="8" hidden="1"/>
    <cellStyle name="Lien hypertexte" xfId="443" builtinId="8" hidden="1"/>
    <cellStyle name="Lien hypertexte" xfId="496" builtinId="8" hidden="1"/>
    <cellStyle name="Lien hypertexte" xfId="528" builtinId="8" hidden="1"/>
    <cellStyle name="Lien hypertexte" xfId="560" builtinId="8" hidden="1"/>
    <cellStyle name="Lien hypertexte" xfId="592" builtinId="8" hidden="1"/>
    <cellStyle name="Lien hypertexte" xfId="624" builtinId="8" hidden="1"/>
    <cellStyle name="Lien hypertexte" xfId="656" builtinId="8" hidden="1"/>
    <cellStyle name="Lien hypertexte" xfId="688" builtinId="8" hidden="1"/>
    <cellStyle name="Lien hypertexte" xfId="720" builtinId="8" hidden="1"/>
    <cellStyle name="Lien hypertexte" xfId="752" builtinId="8" hidden="1"/>
    <cellStyle name="Lien hypertexte" xfId="784" builtinId="8" hidden="1"/>
    <cellStyle name="Lien hypertexte" xfId="816" builtinId="8" hidden="1"/>
    <cellStyle name="Lien hypertexte" xfId="848" builtinId="8" hidden="1"/>
    <cellStyle name="Lien hypertexte" xfId="880" builtinId="8" hidden="1"/>
    <cellStyle name="Lien hypertexte" xfId="913" builtinId="8" hidden="1"/>
    <cellStyle name="Lien hypertexte" xfId="945" builtinId="8" hidden="1"/>
    <cellStyle name="Lien hypertexte" xfId="977" builtinId="8" hidden="1"/>
    <cellStyle name="Lien hypertexte" xfId="1009" builtinId="8" hidden="1"/>
    <cellStyle name="Lien hypertexte" xfId="1041" builtinId="8" hidden="1"/>
    <cellStyle name="Lien hypertexte" xfId="1073" builtinId="8" hidden="1"/>
    <cellStyle name="Lien hypertexte" xfId="1105" builtinId="8" hidden="1"/>
    <cellStyle name="Lien hypertexte" xfId="1137" builtinId="8" hidden="1"/>
    <cellStyle name="Lien hypertexte" xfId="1169" builtinId="8" hidden="1"/>
    <cellStyle name="Lien hypertexte" xfId="1201" builtinId="8" hidden="1"/>
    <cellStyle name="Lien hypertexte" xfId="1233" builtinId="8" hidden="1"/>
    <cellStyle name="Lien hypertexte" xfId="1265" builtinId="8" hidden="1"/>
    <cellStyle name="Lien hypertexte" xfId="1297" builtinId="8" hidden="1"/>
    <cellStyle name="Lien hypertexte" xfId="1329" builtinId="8" hidden="1"/>
    <cellStyle name="Lien hypertexte" xfId="1361" builtinId="8" hidden="1"/>
    <cellStyle name="Lien hypertexte" xfId="1393" builtinId="8" hidden="1"/>
    <cellStyle name="Lien hypertexte" xfId="1425" builtinId="8" hidden="1"/>
    <cellStyle name="Lien hypertexte" xfId="1457" builtinId="8" hidden="1"/>
    <cellStyle name="Lien hypertexte" xfId="1489" builtinId="8" hidden="1"/>
    <cellStyle name="Lien hypertexte" xfId="1467" builtinId="8" hidden="1"/>
    <cellStyle name="Lien hypertexte" xfId="1435" builtinId="8" hidden="1"/>
    <cellStyle name="Lien hypertexte" xfId="1403" builtinId="8" hidden="1"/>
    <cellStyle name="Lien hypertexte" xfId="1371" builtinId="8" hidden="1"/>
    <cellStyle name="Lien hypertexte" xfId="1339" builtinId="8" hidden="1"/>
    <cellStyle name="Lien hypertexte" xfId="1307" builtinId="8" hidden="1"/>
    <cellStyle name="Lien hypertexte" xfId="1275" builtinId="8" hidden="1"/>
    <cellStyle name="Lien hypertexte" xfId="1243" builtinId="8" hidden="1"/>
    <cellStyle name="Lien hypertexte" xfId="1211" builtinId="8" hidden="1"/>
    <cellStyle name="Lien hypertexte" xfId="1179" builtinId="8" hidden="1"/>
    <cellStyle name="Lien hypertexte" xfId="1147" builtinId="8" hidden="1"/>
    <cellStyle name="Lien hypertexte" xfId="1115" builtinId="8" hidden="1"/>
    <cellStyle name="Lien hypertexte" xfId="1083" builtinId="8" hidden="1"/>
    <cellStyle name="Lien hypertexte" xfId="1051" builtinId="8" hidden="1"/>
    <cellStyle name="Lien hypertexte" xfId="1019" builtinId="8" hidden="1"/>
    <cellStyle name="Lien hypertexte" xfId="987" builtinId="8" hidden="1"/>
    <cellStyle name="Lien hypertexte" xfId="955" builtinId="8" hidden="1"/>
    <cellStyle name="Lien hypertexte" xfId="923" builtinId="8" hidden="1"/>
    <cellStyle name="Lien hypertexte" xfId="891" builtinId="8" hidden="1"/>
    <cellStyle name="Lien hypertexte" xfId="858" builtinId="8" hidden="1"/>
    <cellStyle name="Lien hypertexte" xfId="826" builtinId="8" hidden="1"/>
    <cellStyle name="Lien hypertexte" xfId="794" builtinId="8" hidden="1"/>
    <cellStyle name="Lien hypertexte" xfId="762" builtinId="8" hidden="1"/>
    <cellStyle name="Lien hypertexte" xfId="730" builtinId="8" hidden="1"/>
    <cellStyle name="Lien hypertexte" xfId="698" builtinId="8" hidden="1"/>
    <cellStyle name="Lien hypertexte" xfId="666" builtinId="8" hidden="1"/>
    <cellStyle name="Lien hypertexte" xfId="634" builtinId="8" hidden="1"/>
    <cellStyle name="Lien hypertexte" xfId="602" builtinId="8" hidden="1"/>
    <cellStyle name="Lien hypertexte" xfId="570" builtinId="8" hidden="1"/>
    <cellStyle name="Lien hypertexte" xfId="538" builtinId="8" hidden="1"/>
    <cellStyle name="Lien hypertexte" xfId="506" builtinId="8" hidden="1"/>
    <cellStyle name="Lien hypertexte" xfId="453" builtinId="8" hidden="1"/>
    <cellStyle name="Lien hypertexte" xfId="421" builtinId="8" hidden="1"/>
    <cellStyle name="Lien hypertexte" xfId="389" builtinId="8" hidden="1"/>
    <cellStyle name="Lien hypertexte" xfId="357" builtinId="8" hidden="1"/>
    <cellStyle name="Lien hypertexte" xfId="325" builtinId="8" hidden="1"/>
    <cellStyle name="Lien hypertexte" xfId="293" builtinId="8" hidden="1"/>
    <cellStyle name="Lien hypertexte" xfId="261" builtinId="8" hidden="1"/>
    <cellStyle name="Lien hypertexte" xfId="161" builtinId="8" hidden="1"/>
    <cellStyle name="Lien hypertexte" xfId="185" builtinId="8" hidden="1"/>
    <cellStyle name="Lien hypertexte" xfId="205" builtinId="8" hidden="1"/>
    <cellStyle name="Lien hypertexte" xfId="225" builtinId="8" hidden="1"/>
    <cellStyle name="Lien hypertexte" xfId="249" builtinId="8" hidden="1"/>
    <cellStyle name="Lien hypertexte" xfId="229" builtinId="8" hidden="1"/>
    <cellStyle name="Lien hypertexte" xfId="165" builtinId="8" hidden="1"/>
    <cellStyle name="Lien hypertexte" xfId="121" builtinId="8" hidden="1"/>
    <cellStyle name="Lien hypertexte" xfId="141" builtinId="8" hidden="1"/>
    <cellStyle name="Lien hypertexte" xfId="109" builtinId="8" hidden="1"/>
    <cellStyle name="Lien hypertexte" xfId="89" builtinId="8" hidden="1"/>
    <cellStyle name="Lien hypertexte" xfId="105" builtinId="8" hidden="1"/>
    <cellStyle name="Lien hypertexte" xfId="137" builtinId="8" hidden="1"/>
    <cellStyle name="Lien hypertexte" xfId="117" builtinId="8" hidden="1"/>
    <cellStyle name="Lien hypertexte" xfId="181" builtinId="8" hidden="1"/>
    <cellStyle name="Lien hypertexte" xfId="245" builtinId="8" hidden="1"/>
    <cellStyle name="Lien hypertexte" xfId="241" builtinId="8" hidden="1"/>
    <cellStyle name="Lien hypertexte" xfId="221" builtinId="8" hidden="1"/>
    <cellStyle name="Lien hypertexte" xfId="201" builtinId="8" hidden="1"/>
    <cellStyle name="Lien hypertexte" xfId="177" builtinId="8" hidden="1"/>
    <cellStyle name="Lien hypertexte" xfId="157" builtinId="8" hidden="1"/>
    <cellStyle name="Lien hypertexte" xfId="269" builtinId="8" hidden="1"/>
    <cellStyle name="Lien hypertexte" xfId="301" builtinId="8" hidden="1"/>
    <cellStyle name="Lien hypertexte" xfId="333" builtinId="8" hidden="1"/>
    <cellStyle name="Lien hypertexte" xfId="365" builtinId="8" hidden="1"/>
    <cellStyle name="Lien hypertexte" xfId="397" builtinId="8" hidden="1"/>
    <cellStyle name="Lien hypertexte" xfId="429" builtinId="8" hidden="1"/>
    <cellStyle name="Lien hypertexte" xfId="482" builtinId="8" hidden="1"/>
    <cellStyle name="Lien hypertexte" xfId="514" builtinId="8" hidden="1"/>
    <cellStyle name="Lien hypertexte" xfId="546" builtinId="8" hidden="1"/>
    <cellStyle name="Lien hypertexte" xfId="578" builtinId="8" hidden="1"/>
    <cellStyle name="Lien hypertexte" xfId="610" builtinId="8" hidden="1"/>
    <cellStyle name="Lien hypertexte" xfId="642" builtinId="8" hidden="1"/>
    <cellStyle name="Lien hypertexte" xfId="674" builtinId="8" hidden="1"/>
    <cellStyle name="Lien hypertexte" xfId="706" builtinId="8" hidden="1"/>
    <cellStyle name="Lien hypertexte" xfId="738" builtinId="8" hidden="1"/>
    <cellStyle name="Lien hypertexte" xfId="770" builtinId="8" hidden="1"/>
    <cellStyle name="Lien hypertexte" xfId="802" builtinId="8" hidden="1"/>
    <cellStyle name="Lien hypertexte" xfId="834" builtinId="8" hidden="1"/>
    <cellStyle name="Lien hypertexte" xfId="866" builtinId="8" hidden="1"/>
    <cellStyle name="Lien hypertexte" xfId="899" builtinId="8" hidden="1"/>
    <cellStyle name="Lien hypertexte" xfId="931" builtinId="8" hidden="1"/>
    <cellStyle name="Lien hypertexte" xfId="963" builtinId="8" hidden="1"/>
    <cellStyle name="Lien hypertexte" xfId="995" builtinId="8" hidden="1"/>
    <cellStyle name="Lien hypertexte" xfId="1027" builtinId="8" hidden="1"/>
    <cellStyle name="Lien hypertexte" xfId="1059" builtinId="8" hidden="1"/>
    <cellStyle name="Lien hypertexte" xfId="1091" builtinId="8" hidden="1"/>
    <cellStyle name="Lien hypertexte" xfId="1123" builtinId="8" hidden="1"/>
    <cellStyle name="Lien hypertexte" xfId="1155" builtinId="8" hidden="1"/>
    <cellStyle name="Lien hypertexte" xfId="1187" builtinId="8" hidden="1"/>
    <cellStyle name="Lien hypertexte" xfId="1219" builtinId="8" hidden="1"/>
    <cellStyle name="Lien hypertexte" xfId="1251" builtinId="8" hidden="1"/>
    <cellStyle name="Lien hypertexte" xfId="1283" builtinId="8" hidden="1"/>
    <cellStyle name="Lien hypertexte" xfId="1315" builtinId="8" hidden="1"/>
    <cellStyle name="Lien hypertexte" xfId="1347" builtinId="8" hidden="1"/>
    <cellStyle name="Lien hypertexte" xfId="1379" builtinId="8" hidden="1"/>
    <cellStyle name="Lien hypertexte" xfId="1411" builtinId="8" hidden="1"/>
    <cellStyle name="Lien hypertexte" xfId="1443" builtinId="8" hidden="1"/>
    <cellStyle name="Lien hypertexte" xfId="1475" builtinId="8" hidden="1"/>
    <cellStyle name="Lien hypertexte" xfId="1481" builtinId="8" hidden="1"/>
    <cellStyle name="Lien hypertexte" xfId="1449" builtinId="8" hidden="1"/>
    <cellStyle name="Lien hypertexte" xfId="1417" builtinId="8" hidden="1"/>
    <cellStyle name="Lien hypertexte" xfId="1385" builtinId="8" hidden="1"/>
    <cellStyle name="Lien hypertexte" xfId="1353" builtinId="8" hidden="1"/>
    <cellStyle name="Lien hypertexte" xfId="1321" builtinId="8" hidden="1"/>
    <cellStyle name="Lien hypertexte" xfId="1289" builtinId="8" hidden="1"/>
    <cellStyle name="Lien hypertexte" xfId="1257" builtinId="8" hidden="1"/>
    <cellStyle name="Lien hypertexte" xfId="1225" builtinId="8" hidden="1"/>
    <cellStyle name="Lien hypertexte" xfId="1193" builtinId="8" hidden="1"/>
    <cellStyle name="Lien hypertexte" xfId="1161" builtinId="8" hidden="1"/>
    <cellStyle name="Lien hypertexte" xfId="1129" builtinId="8" hidden="1"/>
    <cellStyle name="Lien hypertexte" xfId="1097" builtinId="8" hidden="1"/>
    <cellStyle name="Lien hypertexte" xfId="1065" builtinId="8" hidden="1"/>
    <cellStyle name="Lien hypertexte" xfId="1033" builtinId="8" hidden="1"/>
    <cellStyle name="Lien hypertexte" xfId="1001" builtinId="8" hidden="1"/>
    <cellStyle name="Lien hypertexte" xfId="969" builtinId="8" hidden="1"/>
    <cellStyle name="Lien hypertexte" xfId="937" builtinId="8" hidden="1"/>
    <cellStyle name="Lien hypertexte" xfId="905" builtinId="8" hidden="1"/>
    <cellStyle name="Lien hypertexte" xfId="872" builtinId="8" hidden="1"/>
    <cellStyle name="Lien hypertexte" xfId="840" builtinId="8" hidden="1"/>
    <cellStyle name="Lien hypertexte" xfId="808" builtinId="8" hidden="1"/>
    <cellStyle name="Lien hypertexte" xfId="776" builtinId="8" hidden="1"/>
    <cellStyle name="Lien hypertexte" xfId="744" builtinId="8" hidden="1"/>
    <cellStyle name="Lien hypertexte" xfId="712" builtinId="8" hidden="1"/>
    <cellStyle name="Lien hypertexte" xfId="680" builtinId="8" hidden="1"/>
    <cellStyle name="Lien hypertexte" xfId="648" builtinId="8" hidden="1"/>
    <cellStyle name="Lien hypertexte" xfId="616" builtinId="8" hidden="1"/>
    <cellStyle name="Lien hypertexte" xfId="584" builtinId="8" hidden="1"/>
    <cellStyle name="Lien hypertexte" xfId="552" builtinId="8" hidden="1"/>
    <cellStyle name="Lien hypertexte" xfId="520" builtinId="8" hidden="1"/>
    <cellStyle name="Lien hypertexte" xfId="488" builtinId="8" hidden="1"/>
    <cellStyle name="Lien hypertexte" xfId="435" builtinId="8" hidden="1"/>
    <cellStyle name="Lien hypertexte" xfId="403" builtinId="8" hidden="1"/>
    <cellStyle name="Lien hypertexte" xfId="371" builtinId="8" hidden="1"/>
    <cellStyle name="Lien hypertexte" xfId="339" builtinId="8" hidden="1"/>
    <cellStyle name="Lien hypertexte" xfId="307" builtinId="8" hidden="1"/>
    <cellStyle name="Lien hypertexte" xfId="275" builtinId="8" hidden="1"/>
    <cellStyle name="Lien hypertexte" xfId="243" builtinId="8" hidden="1"/>
    <cellStyle name="Lien hypertexte" xfId="211" builtinId="8" hidden="1"/>
    <cellStyle name="Lien hypertexte" xfId="179" builtinId="8" hidden="1"/>
    <cellStyle name="Lien hypertexte" xfId="147" builtinId="8" hidden="1"/>
    <cellStyle name="Lien hypertexte" xfId="115" builtinId="8" hidden="1"/>
    <cellStyle name="Lien hypertexte" xfId="29" builtinId="8" hidden="1"/>
    <cellStyle name="Lien hypertexte" xfId="51" builtinId="8" hidden="1"/>
    <cellStyle name="Lien hypertexte" xfId="73" builtinId="8" hidden="1"/>
    <cellStyle name="Lien hypertexte" xfId="63" builtinId="8" hidden="1"/>
    <cellStyle name="Lien hypertexte" xfId="19" builtinId="8" hidden="1"/>
    <cellStyle name="Lien hypertexte" xfId="7" builtinId="8" hidden="1"/>
    <cellStyle name="Lien hypertexte" xfId="5" builtinId="8" hidden="1"/>
    <cellStyle name="Lien hypertexte" xfId="13" builtinId="8" hidden="1"/>
    <cellStyle name="Lien hypertexte" xfId="85" builtinId="8" hidden="1"/>
    <cellStyle name="Lien hypertexte" xfId="65" builtinId="8" hidden="1"/>
    <cellStyle name="Lien hypertexte" xfId="43" builtinId="8" hidden="1"/>
    <cellStyle name="Lien hypertexte" xfId="95" builtinId="8" hidden="1"/>
    <cellStyle name="Lien hypertexte" xfId="127" builtinId="8" hidden="1"/>
    <cellStyle name="Lien hypertexte" xfId="159" builtinId="8" hidden="1"/>
    <cellStyle name="Lien hypertexte" xfId="191" builtinId="8" hidden="1"/>
    <cellStyle name="Lien hypertexte" xfId="223" builtinId="8" hidden="1"/>
    <cellStyle name="Lien hypertexte" xfId="255" builtinId="8" hidden="1"/>
    <cellStyle name="Lien hypertexte" xfId="287" builtinId="8" hidden="1"/>
    <cellStyle name="Lien hypertexte" xfId="319" builtinId="8" hidden="1"/>
    <cellStyle name="Lien hypertexte" xfId="352" builtinId="8" hidden="1"/>
    <cellStyle name="Lien hypertexte" xfId="383" builtinId="8" hidden="1"/>
    <cellStyle name="Lien hypertexte" xfId="415" builtinId="8" hidden="1"/>
    <cellStyle name="Lien hypertexte" xfId="447" builtinId="8" hidden="1"/>
    <cellStyle name="Lien hypertexte" xfId="500" builtinId="8" hidden="1"/>
    <cellStyle name="Lien hypertexte" xfId="532" builtinId="8" hidden="1"/>
    <cellStyle name="Lien hypertexte" xfId="564" builtinId="8" hidden="1"/>
    <cellStyle name="Lien hypertexte" xfId="596" builtinId="8" hidden="1"/>
    <cellStyle name="Lien hypertexte" xfId="628" builtinId="8" hidden="1"/>
    <cellStyle name="Lien hypertexte" xfId="660" builtinId="8" hidden="1"/>
    <cellStyle name="Lien hypertexte" xfId="692" builtinId="8" hidden="1"/>
    <cellStyle name="Lien hypertexte" xfId="724" builtinId="8" hidden="1"/>
    <cellStyle name="Lien hypertexte" xfId="756" builtinId="8" hidden="1"/>
    <cellStyle name="Lien hypertexte" xfId="788" builtinId="8" hidden="1"/>
    <cellStyle name="Lien hypertexte" xfId="820" builtinId="8" hidden="1"/>
    <cellStyle name="Lien hypertexte" xfId="852" builtinId="8" hidden="1"/>
    <cellStyle name="Lien hypertexte" xfId="885" builtinId="8" hidden="1"/>
    <cellStyle name="Lien hypertexte" xfId="917" builtinId="8" hidden="1"/>
    <cellStyle name="Lien hypertexte" xfId="949" builtinId="8" hidden="1"/>
    <cellStyle name="Lien hypertexte" xfId="981" builtinId="8" hidden="1"/>
    <cellStyle name="Lien hypertexte" xfId="1013" builtinId="8" hidden="1"/>
    <cellStyle name="Lien hypertexte" xfId="1045" builtinId="8" hidden="1"/>
    <cellStyle name="Lien hypertexte" xfId="1077" builtinId="8" hidden="1"/>
    <cellStyle name="Lien hypertexte" xfId="1109" builtinId="8" hidden="1"/>
    <cellStyle name="Lien hypertexte" xfId="1141" builtinId="8" hidden="1"/>
    <cellStyle name="Lien hypertexte" xfId="1173" builtinId="8" hidden="1"/>
    <cellStyle name="Lien hypertexte" xfId="1205" builtinId="8" hidden="1"/>
    <cellStyle name="Lien hypertexte" xfId="1237" builtinId="8" hidden="1"/>
    <cellStyle name="Lien hypertexte" xfId="1269" builtinId="8" hidden="1"/>
    <cellStyle name="Lien hypertexte" xfId="1301" builtinId="8" hidden="1"/>
    <cellStyle name="Lien hypertexte" xfId="1333" builtinId="8" hidden="1"/>
    <cellStyle name="Lien hypertexte" xfId="1365" builtinId="8" hidden="1"/>
    <cellStyle name="Lien hypertexte" xfId="1397" builtinId="8" hidden="1"/>
    <cellStyle name="Lien hypertexte" xfId="1429" builtinId="8" hidden="1"/>
    <cellStyle name="Lien hypertexte" xfId="1461" builtinId="8" hidden="1"/>
    <cellStyle name="Lien hypertexte" xfId="1493" builtinId="8" hidden="1"/>
    <cellStyle name="Lien hypertexte" xfId="1463" builtinId="8" hidden="1"/>
    <cellStyle name="Lien hypertexte" xfId="1431" builtinId="8" hidden="1"/>
    <cellStyle name="Lien hypertexte" xfId="1399" builtinId="8" hidden="1"/>
    <cellStyle name="Lien hypertexte" xfId="1367" builtinId="8" hidden="1"/>
    <cellStyle name="Lien hypertexte" xfId="1335" builtinId="8" hidden="1"/>
    <cellStyle name="Lien hypertexte" xfId="1303" builtinId="8" hidden="1"/>
    <cellStyle name="Lien hypertexte" xfId="1271" builtinId="8" hidden="1"/>
    <cellStyle name="Lien hypertexte" xfId="1239" builtinId="8" hidden="1"/>
    <cellStyle name="Lien hypertexte" xfId="1207" builtinId="8" hidden="1"/>
    <cellStyle name="Lien hypertexte" xfId="1175" builtinId="8" hidden="1"/>
    <cellStyle name="Lien hypertexte" xfId="1143" builtinId="8" hidden="1"/>
    <cellStyle name="Lien hypertexte" xfId="1111" builtinId="8" hidden="1"/>
    <cellStyle name="Lien hypertexte" xfId="1079" builtinId="8" hidden="1"/>
    <cellStyle name="Lien hypertexte" xfId="1047" builtinId="8" hidden="1"/>
    <cellStyle name="Lien hypertexte" xfId="1015" builtinId="8" hidden="1"/>
    <cellStyle name="Lien hypertexte" xfId="983" builtinId="8" hidden="1"/>
    <cellStyle name="Lien hypertexte" xfId="951" builtinId="8" hidden="1"/>
    <cellStyle name="Lien hypertexte" xfId="919" builtinId="8" hidden="1"/>
    <cellStyle name="Lien hypertexte" xfId="887" builtinId="8" hidden="1"/>
    <cellStyle name="Lien hypertexte" xfId="854" builtinId="8" hidden="1"/>
    <cellStyle name="Lien hypertexte" xfId="822" builtinId="8" hidden="1"/>
    <cellStyle name="Lien hypertexte" xfId="790" builtinId="8" hidden="1"/>
    <cellStyle name="Lien hypertexte" xfId="758" builtinId="8" hidden="1"/>
    <cellStyle name="Lien hypertexte" xfId="726" builtinId="8" hidden="1"/>
    <cellStyle name="Lien hypertexte" xfId="694" builtinId="8" hidden="1"/>
    <cellStyle name="Lien hypertexte" xfId="662" builtinId="8" hidden="1"/>
    <cellStyle name="Lien hypertexte" xfId="630" builtinId="8" hidden="1"/>
    <cellStyle name="Lien hypertexte" xfId="393" builtinId="8" hidden="1"/>
    <cellStyle name="Lien hypertexte" xfId="409" builtinId="8" hidden="1"/>
    <cellStyle name="Lien hypertexte" xfId="433" builtinId="8" hidden="1"/>
    <cellStyle name="Lien hypertexte" xfId="457" builtinId="8" hidden="1"/>
    <cellStyle name="Lien hypertexte" xfId="494" builtinId="8" hidden="1"/>
    <cellStyle name="Lien hypertexte" xfId="518" builtinId="8" hidden="1"/>
    <cellStyle name="Lien hypertexte" xfId="542" builtinId="8" hidden="1"/>
    <cellStyle name="Lien hypertexte" xfId="558" builtinId="8" hidden="1"/>
    <cellStyle name="Lien hypertexte" xfId="582" builtinId="8" hidden="1"/>
    <cellStyle name="Lien hypertexte" xfId="606" builtinId="8" hidden="1"/>
    <cellStyle name="Lien hypertexte" xfId="622" builtinId="8" hidden="1"/>
    <cellStyle name="Lien hypertexte" xfId="566" builtinId="8" hidden="1"/>
    <cellStyle name="Lien hypertexte" xfId="502" builtinId="8" hidden="1"/>
    <cellStyle name="Lien hypertexte" xfId="417" builtinId="8" hidden="1"/>
    <cellStyle name="Lien hypertexte" xfId="313" builtinId="8" hidden="1"/>
    <cellStyle name="Lien hypertexte" xfId="329" builtinId="8" hidden="1"/>
    <cellStyle name="Lien hypertexte" xfId="345" builtinId="8" hidden="1"/>
    <cellStyle name="Lien hypertexte" xfId="369" builtinId="8" hidden="1"/>
    <cellStyle name="Lien hypertexte" xfId="281" builtinId="8" hidden="1"/>
    <cellStyle name="Lien hypertexte" xfId="305" builtinId="8" hidden="1"/>
    <cellStyle name="Lien hypertexte" xfId="273" builtinId="8" hidden="1"/>
    <cellStyle name="Lien hypertexte" xfId="265" builtinId="8" hidden="1"/>
    <cellStyle name="Lien hypertexte" xfId="289" builtinId="8" hidden="1"/>
    <cellStyle name="Lien hypertexte" xfId="297" builtinId="8" hidden="1"/>
    <cellStyle name="Lien hypertexte" xfId="354" builtinId="8" hidden="1"/>
    <cellStyle name="Lien hypertexte" xfId="361" builtinId="8" hidden="1"/>
    <cellStyle name="Lien hypertexte" xfId="337" builtinId="8" hidden="1"/>
    <cellStyle name="Lien hypertexte" xfId="321" builtinId="8" hidden="1"/>
    <cellStyle name="Lien hypertexte" xfId="385" builtinId="8" hidden="1"/>
    <cellStyle name="Lien hypertexte" xfId="449" builtinId="8" hidden="1"/>
    <cellStyle name="Lien hypertexte" xfId="534" builtinId="8" hidden="1"/>
    <cellStyle name="Lien hypertexte" xfId="598" builtinId="8" hidden="1"/>
    <cellStyle name="Lien hypertexte" xfId="614" builtinId="8" hidden="1"/>
    <cellStyle name="Lien hypertexte" xfId="590" builtinId="8" hidden="1"/>
    <cellStyle name="Lien hypertexte" xfId="574" builtinId="8" hidden="1"/>
    <cellStyle name="Lien hypertexte" xfId="550" builtinId="8" hidden="1"/>
    <cellStyle name="Lien hypertexte" xfId="526" builtinId="8" hidden="1"/>
    <cellStyle name="Lien hypertexte" xfId="510" builtinId="8" hidden="1"/>
    <cellStyle name="Lien hypertexte" xfId="486" builtinId="8" hidden="1"/>
    <cellStyle name="Lien hypertexte" xfId="441" builtinId="8" hidden="1"/>
    <cellStyle name="Lien hypertexte" xfId="425" builtinId="8" hidden="1"/>
    <cellStyle name="Lien hypertexte" xfId="401" builtinId="8" hidden="1"/>
    <cellStyle name="Lien hypertexte" xfId="377" builtinId="8" hidden="1"/>
    <cellStyle name="Lien hypertexte" xfId="646" builtinId="8" hidden="1"/>
    <cellStyle name="Lien hypertexte" xfId="678" builtinId="8" hidden="1"/>
    <cellStyle name="Lien hypertexte" xfId="710" builtinId="8" hidden="1"/>
    <cellStyle name="Lien hypertexte" xfId="742" builtinId="8" hidden="1"/>
    <cellStyle name="Lien hypertexte" xfId="774" builtinId="8" hidden="1"/>
    <cellStyle name="Lien hypertexte" xfId="806" builtinId="8" hidden="1"/>
    <cellStyle name="Lien hypertexte" xfId="838" builtinId="8" hidden="1"/>
    <cellStyle name="Lien hypertexte" xfId="870" builtinId="8" hidden="1"/>
    <cellStyle name="Lien hypertexte" xfId="903" builtinId="8" hidden="1"/>
    <cellStyle name="Lien hypertexte" xfId="935" builtinId="8" hidden="1"/>
    <cellStyle name="Lien hypertexte" xfId="967" builtinId="8" hidden="1"/>
    <cellStyle name="Lien hypertexte" xfId="999" builtinId="8" hidden="1"/>
    <cellStyle name="Lien hypertexte" xfId="1031" builtinId="8" hidden="1"/>
    <cellStyle name="Lien hypertexte" xfId="1063" builtinId="8" hidden="1"/>
    <cellStyle name="Lien hypertexte" xfId="1095" builtinId="8" hidden="1"/>
    <cellStyle name="Lien hypertexte" xfId="1127" builtinId="8" hidden="1"/>
    <cellStyle name="Lien hypertexte" xfId="1159" builtinId="8" hidden="1"/>
    <cellStyle name="Lien hypertexte" xfId="1191" builtinId="8" hidden="1"/>
    <cellStyle name="Lien hypertexte" xfId="1223" builtinId="8" hidden="1"/>
    <cellStyle name="Lien hypertexte" xfId="1255" builtinId="8" hidden="1"/>
    <cellStyle name="Lien hypertexte" xfId="1287" builtinId="8" hidden="1"/>
    <cellStyle name="Lien hypertexte" xfId="1319" builtinId="8" hidden="1"/>
    <cellStyle name="Lien hypertexte" xfId="1351" builtinId="8" hidden="1"/>
    <cellStyle name="Lien hypertexte" xfId="1383" builtinId="8" hidden="1"/>
    <cellStyle name="Lien hypertexte" xfId="1415" builtinId="8" hidden="1"/>
    <cellStyle name="Lien hypertexte" xfId="1447" builtinId="8" hidden="1"/>
    <cellStyle name="Lien hypertexte" xfId="1479" builtinId="8" hidden="1"/>
    <cellStyle name="Lien hypertexte" xfId="1477" builtinId="8" hidden="1"/>
    <cellStyle name="Lien hypertexte" xfId="1445" builtinId="8" hidden="1"/>
    <cellStyle name="Lien hypertexte" xfId="1413" builtinId="8" hidden="1"/>
    <cellStyle name="Lien hypertexte" xfId="1381" builtinId="8" hidden="1"/>
    <cellStyle name="Lien hypertexte" xfId="1349" builtinId="8" hidden="1"/>
    <cellStyle name="Lien hypertexte" xfId="1317" builtinId="8" hidden="1"/>
    <cellStyle name="Lien hypertexte" xfId="1285" builtinId="8" hidden="1"/>
    <cellStyle name="Lien hypertexte" xfId="1253" builtinId="8" hidden="1"/>
    <cellStyle name="Lien hypertexte" xfId="1221" builtinId="8" hidden="1"/>
    <cellStyle name="Lien hypertexte" xfId="1189" builtinId="8" hidden="1"/>
    <cellStyle name="Lien hypertexte" xfId="1157" builtinId="8" hidden="1"/>
    <cellStyle name="Lien hypertexte" xfId="1125" builtinId="8" hidden="1"/>
    <cellStyle name="Lien hypertexte" xfId="1093" builtinId="8" hidden="1"/>
    <cellStyle name="Lien hypertexte" xfId="1061" builtinId="8" hidden="1"/>
    <cellStyle name="Lien hypertexte" xfId="1029" builtinId="8" hidden="1"/>
    <cellStyle name="Lien hypertexte" xfId="997" builtinId="8" hidden="1"/>
    <cellStyle name="Lien hypertexte" xfId="965" builtinId="8" hidden="1"/>
    <cellStyle name="Lien hypertexte" xfId="933" builtinId="8" hidden="1"/>
    <cellStyle name="Lien hypertexte" xfId="901" builtinId="8" hidden="1"/>
    <cellStyle name="Lien hypertexte" xfId="868" builtinId="8" hidden="1"/>
    <cellStyle name="Lien hypertexte" xfId="836" builtinId="8" hidden="1"/>
    <cellStyle name="Lien hypertexte" xfId="804" builtinId="8" hidden="1"/>
    <cellStyle name="Lien hypertexte" xfId="772" builtinId="8" hidden="1"/>
    <cellStyle name="Lien hypertexte" xfId="740" builtinId="8" hidden="1"/>
    <cellStyle name="Lien hypertexte" xfId="708" builtinId="8" hidden="1"/>
    <cellStyle name="Lien hypertexte" xfId="676" builtinId="8" hidden="1"/>
    <cellStyle name="Lien hypertexte" xfId="644" builtinId="8" hidden="1"/>
    <cellStyle name="Lien hypertexte" xfId="612" builtinId="8" hidden="1"/>
    <cellStyle name="Lien hypertexte" xfId="580" builtinId="8" hidden="1"/>
    <cellStyle name="Lien hypertexte" xfId="548" builtinId="8" hidden="1"/>
    <cellStyle name="Lien hypertexte" xfId="516" builtinId="8" hidden="1"/>
    <cellStyle name="Lien hypertexte" xfId="484" builtinId="8" hidden="1"/>
    <cellStyle name="Lien hypertexte" xfId="431" builtinId="8" hidden="1"/>
    <cellStyle name="Lien hypertexte" xfId="399" builtinId="8" hidden="1"/>
    <cellStyle name="Lien hypertexte" xfId="367" builtinId="8" hidden="1"/>
    <cellStyle name="Lien hypertexte" xfId="335" builtinId="8" hidden="1"/>
    <cellStyle name="Lien hypertexte" xfId="303" builtinId="8" hidden="1"/>
    <cellStyle name="Lien hypertexte" xfId="271" builtinId="8" hidden="1"/>
    <cellStyle name="Lien hypertexte" xfId="239" builtinId="8" hidden="1"/>
    <cellStyle name="Lien hypertexte" xfId="207" builtinId="8" hidden="1"/>
    <cellStyle name="Lien hypertexte" xfId="175" builtinId="8" hidden="1"/>
    <cellStyle name="Lien hypertexte" xfId="143" builtinId="8" hidden="1"/>
    <cellStyle name="Lien hypertexte" xfId="111" builtinId="8" hidden="1"/>
    <cellStyle name="Lien hypertexte" xfId="33" builtinId="8" hidden="1"/>
    <cellStyle name="Lien hypertexte" xfId="53" builtinId="8" hidden="1"/>
    <cellStyle name="Lien hypertexte" xfId="75" builtinId="8" hidden="1"/>
    <cellStyle name="Lien hypertexte" xfId="55" builtinId="8" hidden="1"/>
    <cellStyle name="Lien hypertexte" xfId="21" builtinId="8" hidden="1"/>
    <cellStyle name="Lien hypertexte" xfId="3" builtinId="8" hidden="1"/>
    <cellStyle name="Lien hypertexte" xfId="23" builtinId="8" hidden="1"/>
    <cellStyle name="Lien hypertexte" xfId="31" builtinId="8" hidden="1"/>
    <cellStyle name="Lien hypertexte" xfId="83" builtinId="8" hidden="1"/>
    <cellStyle name="Lien hypertexte" xfId="61" builtinId="8" hidden="1"/>
    <cellStyle name="Lien hypertexte" xfId="41" builtinId="8" hidden="1"/>
    <cellStyle name="Lien hypertexte" xfId="99" builtinId="8" hidden="1"/>
    <cellStyle name="Lien hypertexte" xfId="131" builtinId="8" hidden="1"/>
    <cellStyle name="Lien hypertexte" xfId="163" builtinId="8" hidden="1"/>
    <cellStyle name="Lien hypertexte" xfId="195" builtinId="8" hidden="1"/>
    <cellStyle name="Lien hypertexte" xfId="227" builtinId="8" hidden="1"/>
    <cellStyle name="Lien hypertexte" xfId="259" builtinId="8" hidden="1"/>
    <cellStyle name="Lien hypertexte" xfId="291" builtinId="8" hidden="1"/>
    <cellStyle name="Lien hypertexte" xfId="323" builtinId="8" hidden="1"/>
    <cellStyle name="Lien hypertexte" xfId="356" builtinId="8" hidden="1"/>
    <cellStyle name="Lien hypertexte" xfId="387" builtinId="8" hidden="1"/>
    <cellStyle name="Lien hypertexte" xfId="419" builtinId="8" hidden="1"/>
    <cellStyle name="Lien hypertexte" xfId="451" builtinId="8" hidden="1"/>
    <cellStyle name="Lien hypertexte" xfId="504" builtinId="8" hidden="1"/>
    <cellStyle name="Lien hypertexte" xfId="536" builtinId="8" hidden="1"/>
    <cellStyle name="Lien hypertexte" xfId="568" builtinId="8" hidden="1"/>
    <cellStyle name="Lien hypertexte" xfId="600" builtinId="8" hidden="1"/>
    <cellStyle name="Lien hypertexte" xfId="632" builtinId="8" hidden="1"/>
    <cellStyle name="Lien hypertexte" xfId="664" builtinId="8" hidden="1"/>
    <cellStyle name="Lien hypertexte" xfId="696" builtinId="8" hidden="1"/>
    <cellStyle name="Lien hypertexte" xfId="728" builtinId="8" hidden="1"/>
    <cellStyle name="Lien hypertexte" xfId="760" builtinId="8" hidden="1"/>
    <cellStyle name="Lien hypertexte" xfId="792" builtinId="8" hidden="1"/>
    <cellStyle name="Lien hypertexte" xfId="824" builtinId="8" hidden="1"/>
    <cellStyle name="Lien hypertexte" xfId="856" builtinId="8" hidden="1"/>
    <cellStyle name="Lien hypertexte" xfId="889" builtinId="8" hidden="1"/>
    <cellStyle name="Lien hypertexte" xfId="921" builtinId="8" hidden="1"/>
    <cellStyle name="Lien hypertexte" xfId="953" builtinId="8" hidden="1"/>
    <cellStyle name="Lien hypertexte" xfId="985" builtinId="8" hidden="1"/>
    <cellStyle name="Lien hypertexte" xfId="1017" builtinId="8" hidden="1"/>
    <cellStyle name="Lien hypertexte" xfId="1049" builtinId="8" hidden="1"/>
    <cellStyle name="Lien hypertexte" xfId="1081" builtinId="8" hidden="1"/>
    <cellStyle name="Lien hypertexte" xfId="1113" builtinId="8" hidden="1"/>
    <cellStyle name="Lien hypertexte" xfId="1145" builtinId="8" hidden="1"/>
    <cellStyle name="Lien hypertexte" xfId="1177" builtinId="8" hidden="1"/>
    <cellStyle name="Lien hypertexte" xfId="1209" builtinId="8" hidden="1"/>
    <cellStyle name="Lien hypertexte" xfId="1241" builtinId="8" hidden="1"/>
    <cellStyle name="Lien hypertexte" xfId="1273" builtinId="8" hidden="1"/>
    <cellStyle name="Lien hypertexte" xfId="1305" builtinId="8" hidden="1"/>
    <cellStyle name="Lien hypertexte" xfId="1337" builtinId="8" hidden="1"/>
    <cellStyle name="Lien hypertexte" xfId="1369" builtinId="8" hidden="1"/>
    <cellStyle name="Lien hypertexte" xfId="1401" builtinId="8" hidden="1"/>
    <cellStyle name="Lien hypertexte" xfId="1433" builtinId="8" hidden="1"/>
    <cellStyle name="Lien hypertexte" xfId="1465" builtinId="8" hidden="1"/>
    <cellStyle name="Lien hypertexte" xfId="1491" builtinId="8" hidden="1"/>
    <cellStyle name="Lien hypertexte" xfId="1459" builtinId="8" hidden="1"/>
    <cellStyle name="Lien hypertexte" xfId="1427" builtinId="8" hidden="1"/>
    <cellStyle name="Lien hypertexte" xfId="1395" builtinId="8" hidden="1"/>
    <cellStyle name="Lien hypertexte" xfId="1363" builtinId="8" hidden="1"/>
    <cellStyle name="Lien hypertexte" xfId="1331" builtinId="8" hidden="1"/>
    <cellStyle name="Lien hypertexte" xfId="1299" builtinId="8" hidden="1"/>
    <cellStyle name="Lien hypertexte" xfId="1267" builtinId="8" hidden="1"/>
    <cellStyle name="Lien hypertexte" xfId="1235" builtinId="8" hidden="1"/>
    <cellStyle name="Lien hypertexte" xfId="1203" builtinId="8" hidden="1"/>
    <cellStyle name="Lien hypertexte" xfId="1171" builtinId="8" hidden="1"/>
    <cellStyle name="Lien hypertexte" xfId="1139" builtinId="8" hidden="1"/>
    <cellStyle name="Lien hypertexte" xfId="1107" builtinId="8" hidden="1"/>
    <cellStyle name="Lien hypertexte" xfId="1075" builtinId="8" hidden="1"/>
    <cellStyle name="Lien hypertexte" xfId="1043" builtinId="8" hidden="1"/>
    <cellStyle name="Lien hypertexte" xfId="1011" builtinId="8" hidden="1"/>
    <cellStyle name="Lien hypertexte" xfId="979" builtinId="8" hidden="1"/>
    <cellStyle name="Lien hypertexte" xfId="947" builtinId="8" hidden="1"/>
    <cellStyle name="Lien hypertexte" xfId="915" builtinId="8" hidden="1"/>
    <cellStyle name="Lien hypertexte" xfId="883" builtinId="8" hidden="1"/>
    <cellStyle name="Lien hypertexte" xfId="850" builtinId="8" hidden="1"/>
    <cellStyle name="Lien hypertexte" xfId="818" builtinId="8" hidden="1"/>
    <cellStyle name="Lien hypertexte" xfId="786" builtinId="8" hidden="1"/>
    <cellStyle name="Lien hypertexte" xfId="754" builtinId="8" hidden="1"/>
    <cellStyle name="Lien hypertexte" xfId="722" builtinId="8" hidden="1"/>
    <cellStyle name="Lien hypertexte" xfId="690" builtinId="8" hidden="1"/>
    <cellStyle name="Lien hypertexte" xfId="658" builtinId="8" hidden="1"/>
    <cellStyle name="Lien hypertexte" xfId="626" builtinId="8" hidden="1"/>
    <cellStyle name="Lien hypertexte" xfId="594" builtinId="8" hidden="1"/>
    <cellStyle name="Lien hypertexte" xfId="562" builtinId="8" hidden="1"/>
    <cellStyle name="Lien hypertexte" xfId="530" builtinId="8" hidden="1"/>
    <cellStyle name="Lien hypertexte" xfId="498" builtinId="8" hidden="1"/>
    <cellStyle name="Lien hypertexte" xfId="445" builtinId="8" hidden="1"/>
    <cellStyle name="Lien hypertexte" xfId="413" builtinId="8" hidden="1"/>
    <cellStyle name="Lien hypertexte" xfId="381" builtinId="8" hidden="1"/>
    <cellStyle name="Lien hypertexte" xfId="350" builtinId="8" hidden="1"/>
    <cellStyle name="Lien hypertexte" xfId="317" builtinId="8" hidden="1"/>
    <cellStyle name="Lien hypertexte" xfId="285" builtinId="8" hidden="1"/>
    <cellStyle name="Lien hypertexte" xfId="145" builtinId="8" hidden="1"/>
    <cellStyle name="Lien hypertexte" xfId="169" builtinId="8" hidden="1"/>
    <cellStyle name="Lien hypertexte" xfId="189" builtinId="8" hidden="1"/>
    <cellStyle name="Lien hypertexte" xfId="209" builtinId="8" hidden="1"/>
    <cellStyle name="Lien hypertexte" xfId="233" builtinId="8" hidden="1"/>
    <cellStyle name="Lien hypertexte" xfId="253" builtinId="8" hidden="1"/>
    <cellStyle name="Lien hypertexte" xfId="213" builtinId="8" hidden="1"/>
    <cellStyle name="Lien hypertexte" xfId="149" builtinId="8" hidden="1"/>
    <cellStyle name="Lien hypertexte" xfId="125" builtinId="8" hidden="1"/>
    <cellStyle name="Lien hypertexte" xfId="133" builtinId="8" hidden="1"/>
    <cellStyle name="Lien hypertexte" xfId="101" builtinId="8" hidden="1"/>
    <cellStyle name="Lien hypertexte" xfId="93" builtinId="8" hidden="1"/>
    <cellStyle name="Lien hypertexte" xfId="97" builtinId="8" hidden="1"/>
    <cellStyle name="Lien hypertexte" xfId="129" builtinId="8" hidden="1"/>
    <cellStyle name="Lien hypertexte" xfId="113" builtinId="8" hidden="1"/>
    <cellStyle name="Lien hypertexte" xfId="197" builtinId="8" hidden="1"/>
    <cellStyle name="Lien hypertexte" xfId="257" builtinId="8" hidden="1"/>
    <cellStyle name="Lien hypertexte" xfId="237" builtinId="8" hidden="1"/>
    <cellStyle name="Lien hypertexte" xfId="217" builtinId="8" hidden="1"/>
    <cellStyle name="Lien hypertexte" xfId="193" builtinId="8" hidden="1"/>
    <cellStyle name="Lien hypertexte" xfId="173" builtinId="8" hidden="1"/>
    <cellStyle name="Lien hypertexte" xfId="153" builtinId="8" hidden="1"/>
    <cellStyle name="Lien hypertexte" xfId="277" builtinId="8" hidden="1"/>
    <cellStyle name="Lien hypertexte" xfId="309" builtinId="8" hidden="1"/>
    <cellStyle name="Lien hypertexte" xfId="341" builtinId="8" hidden="1"/>
    <cellStyle name="Lien hypertexte" xfId="373" builtinId="8" hidden="1"/>
    <cellStyle name="Lien hypertexte" xfId="405" builtinId="8" hidden="1"/>
    <cellStyle name="Lien hypertexte" xfId="437" builtinId="8" hidden="1"/>
    <cellStyle name="Lien hypertexte" xfId="490" builtinId="8" hidden="1"/>
    <cellStyle name="Lien hypertexte" xfId="522" builtinId="8" hidden="1"/>
    <cellStyle name="Lien hypertexte" xfId="554" builtinId="8" hidden="1"/>
    <cellStyle name="Lien hypertexte" xfId="586" builtinId="8" hidden="1"/>
    <cellStyle name="Lien hypertexte" xfId="618" builtinId="8" hidden="1"/>
    <cellStyle name="Lien hypertexte" xfId="650" builtinId="8" hidden="1"/>
    <cellStyle name="Lien hypertexte" xfId="682" builtinId="8" hidden="1"/>
    <cellStyle name="Lien hypertexte" xfId="714" builtinId="8" hidden="1"/>
    <cellStyle name="Lien hypertexte" xfId="746" builtinId="8" hidden="1"/>
    <cellStyle name="Lien hypertexte" xfId="778" builtinId="8" hidden="1"/>
    <cellStyle name="Lien hypertexte" xfId="810" builtinId="8" hidden="1"/>
    <cellStyle name="Lien hypertexte" xfId="842" builtinId="8" hidden="1"/>
    <cellStyle name="Lien hypertexte" xfId="874" builtinId="8" hidden="1"/>
    <cellStyle name="Lien hypertexte" xfId="907" builtinId="8" hidden="1"/>
    <cellStyle name="Lien hypertexte" xfId="939" builtinId="8" hidden="1"/>
    <cellStyle name="Lien hypertexte" xfId="971" builtinId="8" hidden="1"/>
    <cellStyle name="Lien hypertexte" xfId="1003" builtinId="8" hidden="1"/>
    <cellStyle name="Lien hypertexte" xfId="1035" builtinId="8" hidden="1"/>
    <cellStyle name="Lien hypertexte" xfId="1067" builtinId="8" hidden="1"/>
    <cellStyle name="Lien hypertexte" xfId="1099" builtinId="8" hidden="1"/>
    <cellStyle name="Lien hypertexte" xfId="1131" builtinId="8" hidden="1"/>
    <cellStyle name="Lien hypertexte" xfId="1163" builtinId="8" hidden="1"/>
    <cellStyle name="Lien hypertexte" xfId="1195" builtinId="8" hidden="1"/>
    <cellStyle name="Lien hypertexte" xfId="1227" builtinId="8" hidden="1"/>
    <cellStyle name="Lien hypertexte" xfId="1259" builtinId="8" hidden="1"/>
    <cellStyle name="Lien hypertexte" xfId="1291" builtinId="8" hidden="1"/>
    <cellStyle name="Lien hypertexte" xfId="1323" builtinId="8" hidden="1"/>
    <cellStyle name="Lien hypertexte" xfId="1355" builtinId="8" hidden="1"/>
    <cellStyle name="Lien hypertexte" xfId="1387" builtinId="8" hidden="1"/>
    <cellStyle name="Lien hypertexte" xfId="1419" builtinId="8" hidden="1"/>
    <cellStyle name="Lien hypertexte" xfId="1451" builtinId="8" hidden="1"/>
    <cellStyle name="Lien hypertexte" xfId="1483" builtinId="8" hidden="1"/>
    <cellStyle name="Lien hypertexte" xfId="1473" builtinId="8" hidden="1"/>
    <cellStyle name="Lien hypertexte" xfId="1441" builtinId="8" hidden="1"/>
    <cellStyle name="Lien hypertexte" xfId="1409" builtinId="8" hidden="1"/>
    <cellStyle name="Lien hypertexte" xfId="1377" builtinId="8" hidden="1"/>
    <cellStyle name="Lien hypertexte" xfId="1345" builtinId="8" hidden="1"/>
    <cellStyle name="Lien hypertexte" xfId="1313" builtinId="8" hidden="1"/>
    <cellStyle name="Lien hypertexte" xfId="1281" builtinId="8" hidden="1"/>
    <cellStyle name="Lien hypertexte" xfId="1249" builtinId="8" hidden="1"/>
    <cellStyle name="Lien hypertexte" xfId="1217" builtinId="8" hidden="1"/>
    <cellStyle name="Lien hypertexte" xfId="1185" builtinId="8" hidden="1"/>
    <cellStyle name="Lien hypertexte" xfId="1153" builtinId="8" hidden="1"/>
    <cellStyle name="Lien hypertexte" xfId="1121" builtinId="8" hidden="1"/>
    <cellStyle name="Lien hypertexte" xfId="1089" builtinId="8" hidden="1"/>
    <cellStyle name="Lien hypertexte" xfId="1057" builtinId="8" hidden="1"/>
    <cellStyle name="Lien hypertexte" xfId="1025" builtinId="8" hidden="1"/>
    <cellStyle name="Lien hypertexte" xfId="993" builtinId="8" hidden="1"/>
    <cellStyle name="Lien hypertexte" xfId="961" builtinId="8" hidden="1"/>
    <cellStyle name="Lien hypertexte" xfId="929" builtinId="8" hidden="1"/>
    <cellStyle name="Lien hypertexte" xfId="897" builtinId="8" hidden="1"/>
    <cellStyle name="Lien hypertexte" xfId="864" builtinId="8" hidden="1"/>
    <cellStyle name="Lien hypertexte" xfId="832" builtinId="8" hidden="1"/>
    <cellStyle name="Lien hypertexte" xfId="800" builtinId="8" hidden="1"/>
    <cellStyle name="Lien hypertexte" xfId="768" builtinId="8" hidden="1"/>
    <cellStyle name="Lien hypertexte" xfId="736" builtinId="8" hidden="1"/>
    <cellStyle name="Lien hypertexte" xfId="704" builtinId="8" hidden="1"/>
    <cellStyle name="Lien hypertexte" xfId="672" builtinId="8" hidden="1"/>
    <cellStyle name="Lien hypertexte" xfId="640" builtinId="8" hidden="1"/>
    <cellStyle name="Lien hypertexte" xfId="608" builtinId="8" hidden="1"/>
    <cellStyle name="Lien hypertexte" xfId="576" builtinId="8" hidden="1"/>
    <cellStyle name="Lien hypertexte" xfId="544" builtinId="8" hidden="1"/>
    <cellStyle name="Lien hypertexte" xfId="512" builtinId="8" hidden="1"/>
    <cellStyle name="Lien hypertexte" xfId="480" builtinId="8" hidden="1"/>
    <cellStyle name="Lien hypertexte" xfId="427" builtinId="8" hidden="1"/>
    <cellStyle name="Lien hypertexte" xfId="395" builtinId="8" hidden="1"/>
    <cellStyle name="Lien hypertexte" xfId="363" builtinId="8" hidden="1"/>
    <cellStyle name="Lien hypertexte" xfId="331" builtinId="8" hidden="1"/>
    <cellStyle name="Lien hypertexte" xfId="299" builtinId="8" hidden="1"/>
    <cellStyle name="Lien hypertexte" xfId="267" builtinId="8" hidden="1"/>
    <cellStyle name="Lien hypertexte" xfId="235" builtinId="8" hidden="1"/>
    <cellStyle name="Lien hypertexte" xfId="203" builtinId="8" hidden="1"/>
    <cellStyle name="Lien hypertexte" xfId="171" builtinId="8" hidden="1"/>
    <cellStyle name="Lien hypertexte" xfId="139" builtinId="8" hidden="1"/>
    <cellStyle name="Lien hypertexte" xfId="107" builtinId="8" hidden="1"/>
    <cellStyle name="Lien hypertexte" xfId="35" builtinId="8" hidden="1"/>
    <cellStyle name="Lien hypertexte" xfId="57" builtinId="8" hidden="1"/>
    <cellStyle name="Lien hypertexte" xfId="77" builtinId="8" hidden="1"/>
    <cellStyle name="Lien hypertexte" xfId="47" builtinId="8" hidden="1"/>
    <cellStyle name="Lien hypertexte" xfId="25" builtinId="8" hidden="1"/>
    <cellStyle name="Lien hypertexte" xfId="1" builtinId="8" hidden="1"/>
    <cellStyle name="Lien hypertexte" xfId="27" builtinId="8" hidden="1"/>
    <cellStyle name="Lien hypertexte" xfId="39" builtinId="8" hidden="1"/>
    <cellStyle name="Lien hypertexte" xfId="81" builtinId="8" hidden="1"/>
    <cellStyle name="Lien hypertexte" xfId="59" builtinId="8" hidden="1"/>
    <cellStyle name="Lien hypertexte" xfId="37" builtinId="8" hidden="1"/>
    <cellStyle name="Lien hypertexte" xfId="103" builtinId="8" hidden="1"/>
    <cellStyle name="Lien hypertexte" xfId="135" builtinId="8" hidden="1"/>
    <cellStyle name="Lien hypertexte" xfId="167" builtinId="8" hidden="1"/>
    <cellStyle name="Lien hypertexte" xfId="199" builtinId="8" hidden="1"/>
    <cellStyle name="Lien hypertexte" xfId="231" builtinId="8" hidden="1"/>
    <cellStyle name="Lien hypertexte" xfId="263" builtinId="8" hidden="1"/>
    <cellStyle name="Lien hypertexte" xfId="295" builtinId="8" hidden="1"/>
    <cellStyle name="Lien hypertexte" xfId="327" builtinId="8" hidden="1"/>
    <cellStyle name="Lien hypertexte" xfId="359" builtinId="8" hidden="1"/>
    <cellStyle name="Lien hypertexte" xfId="391" builtinId="8" hidden="1"/>
    <cellStyle name="Lien hypertexte" xfId="423" builtinId="8" hidden="1"/>
    <cellStyle name="Lien hypertexte" xfId="455" builtinId="8" hidden="1"/>
    <cellStyle name="Lien hypertexte" xfId="508" builtinId="8" hidden="1"/>
    <cellStyle name="Lien hypertexte" xfId="540" builtinId="8" hidden="1"/>
    <cellStyle name="Lien hypertexte" xfId="572" builtinId="8" hidden="1"/>
    <cellStyle name="Lien hypertexte" xfId="604" builtinId="8" hidden="1"/>
    <cellStyle name="Lien hypertexte" xfId="636" builtinId="8" hidden="1"/>
    <cellStyle name="Lien hypertexte" xfId="668" builtinId="8" hidden="1"/>
    <cellStyle name="Lien hypertexte" xfId="700" builtinId="8" hidden="1"/>
    <cellStyle name="Lien hypertexte" xfId="732" builtinId="8" hidden="1"/>
    <cellStyle name="Lien hypertexte" xfId="764" builtinId="8" hidden="1"/>
    <cellStyle name="Lien hypertexte" xfId="796" builtinId="8" hidden="1"/>
    <cellStyle name="Lien hypertexte" xfId="828" builtinId="8" hidden="1"/>
    <cellStyle name="Lien hypertexte" xfId="860" builtinId="8" hidden="1"/>
    <cellStyle name="Lien hypertexte" xfId="893" builtinId="8" hidden="1"/>
    <cellStyle name="Lien hypertexte" xfId="925" builtinId="8" hidden="1"/>
    <cellStyle name="Lien hypertexte" xfId="957" builtinId="8" hidden="1"/>
    <cellStyle name="Lien hypertexte" xfId="989" builtinId="8" hidden="1"/>
    <cellStyle name="Lien hypertexte" xfId="1021" builtinId="8" hidden="1"/>
    <cellStyle name="Lien hypertexte" xfId="1053" builtinId="8" hidden="1"/>
    <cellStyle name="Lien hypertexte" xfId="1085" builtinId="8" hidden="1"/>
    <cellStyle name="Lien hypertexte" xfId="1117" builtinId="8" hidden="1"/>
    <cellStyle name="Lien hypertexte" xfId="1149" builtinId="8" hidden="1"/>
    <cellStyle name="Lien hypertexte" xfId="1181" builtinId="8" hidden="1"/>
    <cellStyle name="Lien hypertexte" xfId="1213" builtinId="8" hidden="1"/>
    <cellStyle name="Lien hypertexte" xfId="1245" builtinId="8" hidden="1"/>
    <cellStyle name="Lien hypertexte" xfId="1277" builtinId="8" hidden="1"/>
    <cellStyle name="Lien hypertexte" xfId="1309" builtinId="8" hidden="1"/>
    <cellStyle name="Lien hypertexte" xfId="1341" builtinId="8" hidden="1"/>
    <cellStyle name="Lien hypertexte" xfId="1373" builtinId="8" hidden="1"/>
    <cellStyle name="Lien hypertexte" xfId="1405" builtinId="8" hidden="1"/>
    <cellStyle name="Lien hypertexte" xfId="1437" builtinId="8" hidden="1"/>
    <cellStyle name="Lien hypertexte" xfId="1469" builtinId="8" hidden="1"/>
    <cellStyle name="Lien hypertexte" xfId="1487" builtinId="8" hidden="1"/>
    <cellStyle name="Lien hypertexte" xfId="1455" builtinId="8" hidden="1"/>
    <cellStyle name="Lien hypertexte" xfId="1423" builtinId="8" hidden="1"/>
    <cellStyle name="Lien hypertexte" xfId="1391" builtinId="8" hidden="1"/>
    <cellStyle name="Lien hypertexte" xfId="1359" builtinId="8" hidden="1"/>
    <cellStyle name="Lien hypertexte" xfId="1327" builtinId="8" hidden="1"/>
    <cellStyle name="Lien hypertexte" xfId="862" builtinId="8" hidden="1"/>
    <cellStyle name="Lien hypertexte" xfId="895" builtinId="8" hidden="1"/>
    <cellStyle name="Lien hypertexte" xfId="911" builtinId="8" hidden="1"/>
    <cellStyle name="Lien hypertexte" xfId="927" builtinId="8" hidden="1"/>
    <cellStyle name="Lien hypertexte" xfId="959" builtinId="8" hidden="1"/>
    <cellStyle name="Lien hypertexte" xfId="975" builtinId="8" hidden="1"/>
    <cellStyle name="Lien hypertexte" xfId="991" builtinId="8" hidden="1"/>
    <cellStyle name="Lien hypertexte" xfId="1023" builtinId="8" hidden="1"/>
    <cellStyle name="Lien hypertexte" xfId="1039" builtinId="8" hidden="1"/>
    <cellStyle name="Lien hypertexte" xfId="1055" builtinId="8" hidden="1"/>
    <cellStyle name="Lien hypertexte" xfId="1087" builtinId="8" hidden="1"/>
    <cellStyle name="Lien hypertexte" xfId="1103" builtinId="8" hidden="1"/>
    <cellStyle name="Lien hypertexte" xfId="1119" builtinId="8" hidden="1"/>
    <cellStyle name="Lien hypertexte" xfId="1151" builtinId="8" hidden="1"/>
    <cellStyle name="Lien hypertexte" xfId="1167" builtinId="8" hidden="1"/>
    <cellStyle name="Lien hypertexte" xfId="1183" builtinId="8" hidden="1"/>
    <cellStyle name="Lien hypertexte" xfId="1215" builtinId="8" hidden="1"/>
    <cellStyle name="Lien hypertexte" xfId="1231" builtinId="8" hidden="1"/>
    <cellStyle name="Lien hypertexte" xfId="1247" builtinId="8" hidden="1"/>
    <cellStyle name="Lien hypertexte" xfId="1279" builtinId="8" hidden="1"/>
    <cellStyle name="Lien hypertexte" xfId="1295" builtinId="8" hidden="1"/>
    <cellStyle name="Lien hypertexte" xfId="1311" builtinId="8" hidden="1"/>
    <cellStyle name="Lien hypertexte" xfId="1263" builtinId="8" hidden="1"/>
    <cellStyle name="Lien hypertexte" xfId="1199" builtinId="8" hidden="1"/>
    <cellStyle name="Lien hypertexte" xfId="1135" builtinId="8" hidden="1"/>
    <cellStyle name="Lien hypertexte" xfId="1071" builtinId="8" hidden="1"/>
    <cellStyle name="Lien hypertexte" xfId="1007" builtinId="8" hidden="1"/>
    <cellStyle name="Lien hypertexte" xfId="943" builtinId="8" hidden="1"/>
    <cellStyle name="Lien hypertexte" xfId="878" builtinId="8" hidden="1"/>
    <cellStyle name="Lien hypertexte" xfId="734" builtinId="8" hidden="1"/>
    <cellStyle name="Lien hypertexte" xfId="750" builtinId="8" hidden="1"/>
    <cellStyle name="Lien hypertexte" xfId="766" builtinId="8" hidden="1"/>
    <cellStyle name="Lien hypertexte" xfId="782" builtinId="8" hidden="1"/>
    <cellStyle name="Lien hypertexte" xfId="798" builtinId="8" hidden="1"/>
    <cellStyle name="Lien hypertexte" xfId="830" builtinId="8" hidden="1"/>
    <cellStyle name="Lien hypertexte" xfId="846" builtinId="8" hidden="1"/>
    <cellStyle name="Lien hypertexte" xfId="814" builtinId="8" hidden="1"/>
    <cellStyle name="Lien hypertexte" xfId="670" builtinId="8" hidden="1"/>
    <cellStyle name="Lien hypertexte" xfId="702" builtinId="8" hidden="1"/>
    <cellStyle name="Lien hypertexte" xfId="718" builtinId="8" hidden="1"/>
    <cellStyle name="Lien hypertexte" xfId="686" builtinId="8" hidden="1"/>
    <cellStyle name="Lien hypertexte" xfId="654" builtinId="8" hidden="1"/>
    <cellStyle name="Lien hypertexte" xfId="638" builtinId="8" hidden="1"/>
    <cellStyle name="Lien hypertexte visité" xfId="1232" builtinId="9" hidden="1"/>
    <cellStyle name="Lien hypertexte visité" xfId="1192" builtinId="9" hidden="1"/>
    <cellStyle name="Lien hypertexte visité" xfId="1170" builtinId="9" hidden="1"/>
    <cellStyle name="Lien hypertexte visité" xfId="1106" builtinId="9" hidden="1"/>
    <cellStyle name="Lien hypertexte visité" xfId="1084" builtinId="9" hidden="1"/>
    <cellStyle name="Lien hypertexte visité" xfId="1064" builtinId="9" hidden="1"/>
    <cellStyle name="Lien hypertexte visité" xfId="1000" builtinId="9" hidden="1"/>
    <cellStyle name="Lien hypertexte visité" xfId="978" builtinId="9" hidden="1"/>
    <cellStyle name="Lien hypertexte visité" xfId="936" builtinId="9" hidden="1"/>
    <cellStyle name="Lien hypertexte visité" xfId="892" builtinId="9" hidden="1"/>
    <cellStyle name="Lien hypertexte visité" xfId="849" builtinId="9" hidden="1"/>
    <cellStyle name="Lien hypertexte visité" xfId="681" builtinId="9" hidden="1"/>
    <cellStyle name="Lien hypertexte visité" xfId="689" builtinId="9" hidden="1"/>
    <cellStyle name="Lien hypertexte visité" xfId="691" builtinId="9" hidden="1"/>
    <cellStyle name="Lien hypertexte visité" xfId="695" builtinId="9" hidden="1"/>
    <cellStyle name="Lien hypertexte visité" xfId="703" builtinId="9" hidden="1"/>
    <cellStyle name="Lien hypertexte visité" xfId="705" builtinId="9" hidden="1"/>
    <cellStyle name="Lien hypertexte visité" xfId="711" builtinId="9" hidden="1"/>
    <cellStyle name="Lien hypertexte visité" xfId="715" builtinId="9" hidden="1"/>
    <cellStyle name="Lien hypertexte visité" xfId="723" builtinId="9" hidden="1"/>
    <cellStyle name="Lien hypertexte visité" xfId="727" builtinId="9" hidden="1"/>
    <cellStyle name="Lien hypertexte visité" xfId="735" builtinId="9" hidden="1"/>
    <cellStyle name="Lien hypertexte visité" xfId="737" builtinId="9" hidden="1"/>
    <cellStyle name="Lien hypertexte visité" xfId="739" builtinId="9" hidden="1"/>
    <cellStyle name="Lien hypertexte visité" xfId="747" builtinId="9" hidden="1"/>
    <cellStyle name="Lien hypertexte visité" xfId="751" builtinId="9" hidden="1"/>
    <cellStyle name="Lien hypertexte visité" xfId="755" builtinId="9" hidden="1"/>
    <cellStyle name="Lien hypertexte visité" xfId="761" builtinId="9" hidden="1"/>
    <cellStyle name="Lien hypertexte visité" xfId="769" builtinId="9" hidden="1"/>
    <cellStyle name="Lien hypertexte visité" xfId="771" builtinId="9" hidden="1"/>
    <cellStyle name="Lien hypertexte visité" xfId="779" builtinId="9" hidden="1"/>
    <cellStyle name="Lien hypertexte visité" xfId="783" builtinId="9" hidden="1"/>
    <cellStyle name="Lien hypertexte visité" xfId="785" builtinId="9" hidden="1"/>
    <cellStyle name="Lien hypertexte visité" xfId="793" builtinId="9" hidden="1"/>
    <cellStyle name="Lien hypertexte visité" xfId="795" builtinId="9" hidden="1"/>
    <cellStyle name="Lien hypertexte visité" xfId="801" builtinId="9" hidden="1"/>
    <cellStyle name="Lien hypertexte visité" xfId="809" builtinId="9" hidden="1"/>
    <cellStyle name="Lien hypertexte visité" xfId="815" builtinId="9" hidden="1"/>
    <cellStyle name="Lien hypertexte visité" xfId="817" builtinId="9" hidden="1"/>
    <cellStyle name="Lien hypertexte visité" xfId="825" builtinId="9" hidden="1"/>
    <cellStyle name="Lien hypertexte visité" xfId="827" builtinId="9" hidden="1"/>
    <cellStyle name="Lien hypertexte visité" xfId="831" builtinId="9" hidden="1"/>
    <cellStyle name="Lien hypertexte visité" xfId="807" builtinId="9" hidden="1"/>
    <cellStyle name="Lien hypertexte visité" xfId="763" builtinId="9" hidden="1"/>
    <cellStyle name="Lien hypertexte visité" xfId="679" builtinId="9" hidden="1"/>
    <cellStyle name="Lien hypertexte visité" xfId="611" builtinId="9" hidden="1"/>
    <cellStyle name="Lien hypertexte visité" xfId="617" builtinId="9" hidden="1"/>
    <cellStyle name="Lien hypertexte visité" xfId="619" builtinId="9" hidden="1"/>
    <cellStyle name="Lien hypertexte visité" xfId="627" builtinId="9" hidden="1"/>
    <cellStyle name="Lien hypertexte visité" xfId="631" builtinId="9" hidden="1"/>
    <cellStyle name="Lien hypertexte visité" xfId="633" builtinId="9" hidden="1"/>
    <cellStyle name="Lien hypertexte visité" xfId="641" builtinId="9" hidden="1"/>
    <cellStyle name="Lien hypertexte visité" xfId="643" builtinId="9" hidden="1"/>
    <cellStyle name="Lien hypertexte visité" xfId="649" builtinId="9" hidden="1"/>
    <cellStyle name="Lien hypertexte visité" xfId="655" builtinId="9" hidden="1"/>
    <cellStyle name="Lien hypertexte visité" xfId="659" builtinId="9" hidden="1"/>
    <cellStyle name="Lien hypertexte visité" xfId="663" builtinId="9" hidden="1"/>
    <cellStyle name="Lien hypertexte visité" xfId="671" builtinId="9" hidden="1"/>
    <cellStyle name="Lien hypertexte visité" xfId="673" builtinId="9" hidden="1"/>
    <cellStyle name="Lien hypertexte visité" xfId="675" builtinId="9" hidden="1"/>
    <cellStyle name="Lien hypertexte visité" xfId="579" builtinId="9" hidden="1"/>
    <cellStyle name="Lien hypertexte visité" xfId="583" builtinId="9" hidden="1"/>
    <cellStyle name="Lien hypertexte visité" xfId="587" builtinId="9" hidden="1"/>
    <cellStyle name="Lien hypertexte visité" xfId="593" builtinId="9" hidden="1"/>
    <cellStyle name="Lien hypertexte visité" xfId="599" builtinId="9" hidden="1"/>
    <cellStyle name="Lien hypertexte visité" xfId="601" builtinId="9" hidden="1"/>
    <cellStyle name="Lien hypertexte visité" xfId="559" builtinId="9" hidden="1"/>
    <cellStyle name="Lien hypertexte visité" xfId="561" builtinId="9" hidden="1"/>
    <cellStyle name="Lien hypertexte visité" xfId="563" builtinId="9" hidden="1"/>
    <cellStyle name="Lien hypertexte visité" xfId="571" builtinId="9" hidden="1"/>
    <cellStyle name="Lien hypertexte visité" xfId="551" builtinId="9" hidden="1"/>
    <cellStyle name="Lien hypertexte visité" xfId="555" builtinId="9" hidden="1"/>
    <cellStyle name="Lien hypertexte visité" xfId="547" builtinId="9" hidden="1"/>
    <cellStyle name="Lien hypertexte visité" xfId="543" builtinId="9" hidden="1"/>
    <cellStyle name="Lien hypertexte visité" xfId="553" builtinId="9" hidden="1"/>
    <cellStyle name="Lien hypertexte visité" xfId="607" builtinId="9" hidden="1"/>
    <cellStyle name="Lien hypertexte visité" xfId="595" builtinId="9" hidden="1"/>
    <cellStyle name="Lien hypertexte visité" xfId="585" builtinId="9" hidden="1"/>
    <cellStyle name="Lien hypertexte visité" xfId="667" builtinId="9" hidden="1"/>
    <cellStyle name="Lien hypertexte visité" xfId="657" builtinId="9" hidden="1"/>
    <cellStyle name="Lien hypertexte visité" xfId="647" builtinId="9" hidden="1"/>
    <cellStyle name="Lien hypertexte visité" xfId="625" builtinId="9" hidden="1"/>
    <cellStyle name="Lien hypertexte visité" xfId="615" builtinId="9" hidden="1"/>
    <cellStyle name="Lien hypertexte visité" xfId="721" builtinId="9" hidden="1"/>
    <cellStyle name="Lien hypertexte visité" xfId="823" builtinId="9" hidden="1"/>
    <cellStyle name="Lien hypertexte visité" xfId="811" builtinId="9" hidden="1"/>
    <cellStyle name="Lien hypertexte visité" xfId="799" builtinId="9" hidden="1"/>
    <cellStyle name="Lien hypertexte visité" xfId="777" builtinId="9" hidden="1"/>
    <cellStyle name="Lien hypertexte visité" xfId="767" builtinId="9" hidden="1"/>
    <cellStyle name="Lien hypertexte visité" xfId="753" builtinId="9" hidden="1"/>
    <cellStyle name="Lien hypertexte visité" xfId="731" builtinId="9" hidden="1"/>
    <cellStyle name="Lien hypertexte visité" xfId="719" builtinId="9" hidden="1"/>
    <cellStyle name="Lien hypertexte visité" xfId="707" builtinId="9" hidden="1"/>
    <cellStyle name="Lien hypertexte visité" xfId="687" builtinId="9" hidden="1"/>
    <cellStyle name="Lien hypertexte visité" xfId="871" builtinId="9" hidden="1"/>
    <cellStyle name="Lien hypertexte visité" xfId="956" builtinId="9" hidden="1"/>
    <cellStyle name="Lien hypertexte visité" xfId="1128" builtinId="9" hidden="1"/>
    <cellStyle name="Lien hypertexte visité" xfId="1212" builtinId="9" hidden="1"/>
    <cellStyle name="Lien hypertexte visité" xfId="1224" builtinId="9" hidden="1"/>
    <cellStyle name="Lien hypertexte visité" xfId="1200" builtinId="9" hidden="1"/>
    <cellStyle name="Lien hypertexte visité" xfId="1186" builtinId="9" hidden="1"/>
    <cellStyle name="Lien hypertexte visité" xfId="1176" builtinId="9" hidden="1"/>
    <cellStyle name="Lien hypertexte visité" xfId="1152" builtinId="9" hidden="1"/>
    <cellStyle name="Lien hypertexte visité" xfId="1138" builtinId="9" hidden="1"/>
    <cellStyle name="Lien hypertexte visité" xfId="1124" builtinId="9" hidden="1"/>
    <cellStyle name="Lien hypertexte visité" xfId="1100" builtinId="9" hidden="1"/>
    <cellStyle name="Lien hypertexte visité" xfId="1090" builtinId="9" hidden="1"/>
    <cellStyle name="Lien hypertexte visité" xfId="1076" builtinId="9" hidden="1"/>
    <cellStyle name="Lien hypertexte visité" xfId="1052" builtinId="9" hidden="1"/>
    <cellStyle name="Lien hypertexte visité" xfId="1040" builtinId="9" hidden="1"/>
    <cellStyle name="Lien hypertexte visité" xfId="1028" builtinId="9" hidden="1"/>
    <cellStyle name="Lien hypertexte visité" xfId="1004" builtinId="9" hidden="1"/>
    <cellStyle name="Lien hypertexte visité" xfId="992" builtinId="9" hidden="1"/>
    <cellStyle name="Lien hypertexte visité" xfId="980" builtinId="9" hidden="1"/>
    <cellStyle name="Lien hypertexte visité" xfId="954" builtinId="9" hidden="1"/>
    <cellStyle name="Lien hypertexte visité" xfId="944" builtinId="9" hidden="1"/>
    <cellStyle name="Lien hypertexte visité" xfId="930" builtinId="9" hidden="1"/>
    <cellStyle name="Lien hypertexte visité" xfId="906" builtinId="9" hidden="1"/>
    <cellStyle name="Lien hypertexte visité" xfId="896" builtinId="9" hidden="1"/>
    <cellStyle name="Lien hypertexte visité" xfId="881" builtinId="9" hidden="1"/>
    <cellStyle name="Lien hypertexte visité" xfId="857" builtinId="9" hidden="1"/>
    <cellStyle name="Lien hypertexte visité" xfId="843" builtinId="9" hidden="1"/>
    <cellStyle name="Lien hypertexte visité" xfId="1244" builtinId="9" hidden="1"/>
    <cellStyle name="Lien hypertexte visité" xfId="1330" builtinId="9" hidden="1"/>
    <cellStyle name="Lien hypertexte visité" xfId="1372" builtinId="9" hidden="1"/>
    <cellStyle name="Lien hypertexte visité" xfId="1416" builtinId="9" hidden="1"/>
    <cellStyle name="Lien hypertexte visité" xfId="1478" builtinId="9" hidden="1"/>
    <cellStyle name="Lien hypertexte visité" xfId="1350" builtinId="9" hidden="1"/>
    <cellStyle name="Lien hypertexte visité" xfId="1222" builtinId="9" hidden="1"/>
    <cellStyle name="Lien hypertexte visité" xfId="966" builtinId="9" hidden="1"/>
    <cellStyle name="Lien hypertexte visité" xfId="837" builtinId="9" hidden="1"/>
    <cellStyle name="Lien hypertexte visité" xfId="709" builtinId="9" hidden="1"/>
    <cellStyle name="Lien hypertexte visité" xfId="246" builtinId="9" hidden="1"/>
    <cellStyle name="Lien hypertexte visité" xfId="284" builtinId="9" hidden="1"/>
    <cellStyle name="Lien hypertexte visité" xfId="320" builtinId="9" hidden="1"/>
    <cellStyle name="Lien hypertexte visité" xfId="394" builtinId="9" hidden="1"/>
    <cellStyle name="Lien hypertexte visité" xfId="430" builtinId="9" hidden="1"/>
    <cellStyle name="Lien hypertexte visité" xfId="487" builtinId="9" hidden="1"/>
    <cellStyle name="Lien hypertexte visité" xfId="376" builtinId="9" hidden="1"/>
    <cellStyle name="Lien hypertexte visité" xfId="118" builtinId="9" hidden="1"/>
    <cellStyle name="Lien hypertexte visité" xfId="152" builtinId="9" hidden="1"/>
    <cellStyle name="Lien hypertexte visité" xfId="220" builtinId="9" hidden="1"/>
    <cellStyle name="Lien hypertexte visité" xfId="72" builtinId="9" hidden="1"/>
    <cellStyle name="Lien hypertexte visité" xfId="26" builtinId="9" hidden="1"/>
    <cellStyle name="Lien hypertexte visité" xfId="4" builtinId="9" hidden="1"/>
    <cellStyle name="Lien hypertexte visité" xfId="22" builtinId="9" hidden="1"/>
    <cellStyle name="Lien hypertexte visité" xfId="48" builtinId="9" hidden="1"/>
    <cellStyle name="Lien hypertexte visité" xfId="28" builtinId="9" hidden="1"/>
    <cellStyle name="Lien hypertexte visité" xfId="94" builtinId="9" hidden="1"/>
    <cellStyle name="Lien hypertexte visité" xfId="84" builtinId="9" hidden="1"/>
    <cellStyle name="Lien hypertexte visité" xfId="62" builtinId="9" hidden="1"/>
    <cellStyle name="Lien hypertexte visité" xfId="52" builtinId="9" hidden="1"/>
    <cellStyle name="Lien hypertexte visité" xfId="222" builtinId="9" hidden="1"/>
    <cellStyle name="Lien hypertexte visité" xfId="198" builtinId="9" hidden="1"/>
    <cellStyle name="Lien hypertexte visité" xfId="188" builtinId="9" hidden="1"/>
    <cellStyle name="Lien hypertexte visité" xfId="176" builtinId="9" hidden="1"/>
    <cellStyle name="Lien hypertexte visité" xfId="154" builtinId="9" hidden="1"/>
    <cellStyle name="Lien hypertexte visité" xfId="142" builtinId="9" hidden="1"/>
    <cellStyle name="Lien hypertexte visité" xfId="130" builtinId="9" hidden="1"/>
    <cellStyle name="Lien hypertexte visité" xfId="108" builtinId="9" hidden="1"/>
    <cellStyle name="Lien hypertexte visité" xfId="280" builtinId="9" hidden="1"/>
    <cellStyle name="Lien hypertexte visité" xfId="360" builtinId="9" hidden="1"/>
    <cellStyle name="Lien hypertexte visité" xfId="537" builtinId="9" hidden="1"/>
    <cellStyle name="Lien hypertexte visité" xfId="1086" builtinId="9" hidden="1"/>
    <cellStyle name="Lien hypertexte visité" xfId="1078" builtinId="9" hidden="1"/>
    <cellStyle name="Lien hypertexte visité" xfId="1054" builtinId="9" hidden="1"/>
    <cellStyle name="Lien hypertexte visité" xfId="1038" builtinId="9" hidden="1"/>
    <cellStyle name="Lien hypertexte visité" xfId="1022" builtinId="9" hidden="1"/>
    <cellStyle name="Lien hypertexte visité" xfId="1006" builtinId="9" hidden="1"/>
    <cellStyle name="Lien hypertexte visité" xfId="990" builtinId="9" hidden="1"/>
    <cellStyle name="Lien hypertexte visité" xfId="982" builtinId="9" hidden="1"/>
    <cellStyle name="Lien hypertexte visité" xfId="950" builtinId="9" hidden="1"/>
    <cellStyle name="Lien hypertexte visité" xfId="942" builtinId="9" hidden="1"/>
    <cellStyle name="Lien hypertexte visité" xfId="926" builtinId="9" hidden="1"/>
    <cellStyle name="Lien hypertexte visité" xfId="910" builtinId="9" hidden="1"/>
    <cellStyle name="Lien hypertexte visité" xfId="894" builtinId="9" hidden="1"/>
    <cellStyle name="Lien hypertexte visité" xfId="886" builtinId="9" hidden="1"/>
    <cellStyle name="Lien hypertexte visité" xfId="853" builtinId="9" hidden="1"/>
    <cellStyle name="Lien hypertexte visité" xfId="845" builtinId="9" hidden="1"/>
    <cellStyle name="Lien hypertexte visité" xfId="829" builtinId="9" hidden="1"/>
    <cellStyle name="Lien hypertexte visité" xfId="813" builtinId="9" hidden="1"/>
    <cellStyle name="Lien hypertexte visité" xfId="797" builtinId="9" hidden="1"/>
    <cellStyle name="Lien hypertexte visité" xfId="781" builtinId="9" hidden="1"/>
    <cellStyle name="Lien hypertexte visité" xfId="757" builtinId="9" hidden="1"/>
    <cellStyle name="Lien hypertexte visité" xfId="749" builtinId="9" hidden="1"/>
    <cellStyle name="Lien hypertexte visité" xfId="733" builtinId="9" hidden="1"/>
    <cellStyle name="Lien hypertexte visité" xfId="717" builtinId="9" hidden="1"/>
    <cellStyle name="Lien hypertexte visité" xfId="693" builtinId="9" hidden="1"/>
    <cellStyle name="Lien hypertexte visité" xfId="685" builtinId="9" hidden="1"/>
    <cellStyle name="Lien hypertexte visité" xfId="661" builtinId="9" hidden="1"/>
    <cellStyle name="Lien hypertexte visité" xfId="653" builtinId="9" hidden="1"/>
    <cellStyle name="Lien hypertexte visité" xfId="637" builtinId="9" hidden="1"/>
    <cellStyle name="Lien hypertexte visité" xfId="605" builtinId="9" hidden="1"/>
    <cellStyle name="Lien hypertexte visité" xfId="597" builtinId="9" hidden="1"/>
    <cellStyle name="Lien hypertexte visité" xfId="589" builtinId="9" hidden="1"/>
    <cellStyle name="Lien hypertexte visité" xfId="565" builtinId="9" hidden="1"/>
    <cellStyle name="Lien hypertexte visité" xfId="557" builtinId="9" hidden="1"/>
    <cellStyle name="Lien hypertexte visité" xfId="541" builtinId="9" hidden="1"/>
    <cellStyle name="Lien hypertexte visité" xfId="230" builtinId="9" hidden="1"/>
    <cellStyle name="Lien hypertexte visité" xfId="234" builtinId="9" hidden="1"/>
    <cellStyle name="Lien hypertexte visité" xfId="236" builtinId="9" hidden="1"/>
    <cellStyle name="Lien hypertexte visité" xfId="242" builtinId="9" hidden="1"/>
    <cellStyle name="Lien hypertexte visité" xfId="244" builtinId="9" hidden="1"/>
    <cellStyle name="Lien hypertexte visité" xfId="252" builtinId="9" hidden="1"/>
    <cellStyle name="Lien hypertexte visité" xfId="258" builtinId="9" hidden="1"/>
    <cellStyle name="Lien hypertexte visité" xfId="260" builtinId="9" hidden="1"/>
    <cellStyle name="Lien hypertexte visité" xfId="262" builtinId="9" hidden="1"/>
    <cellStyle name="Lien hypertexte visité" xfId="270" builtinId="9" hidden="1"/>
    <cellStyle name="Lien hypertexte visité" xfId="276" builtinId="9" hidden="1"/>
    <cellStyle name="Lien hypertexte visité" xfId="278" builtinId="9" hidden="1"/>
    <cellStyle name="Lien hypertexte visité" xfId="286" builtinId="9" hidden="1"/>
    <cellStyle name="Lien hypertexte visité" xfId="288" builtinId="9" hidden="1"/>
    <cellStyle name="Lien hypertexte visité" xfId="290" builtinId="9" hidden="1"/>
    <cellStyle name="Lien hypertexte visité" xfId="300" builtinId="9" hidden="1"/>
    <cellStyle name="Lien hypertexte visité" xfId="304" builtinId="9" hidden="1"/>
    <cellStyle name="Lien hypertexte visité" xfId="306" builtinId="9" hidden="1"/>
    <cellStyle name="Lien hypertexte visité" xfId="314" builtinId="9" hidden="1"/>
    <cellStyle name="Lien hypertexte visité" xfId="316" builtinId="9" hidden="1"/>
    <cellStyle name="Lien hypertexte visité" xfId="318" builtinId="9" hidden="1"/>
    <cellStyle name="Lien hypertexte visité" xfId="326" builtinId="9" hidden="1"/>
    <cellStyle name="Lien hypertexte visité" xfId="332" builtinId="9" hidden="1"/>
    <cellStyle name="Lien hypertexte visité" xfId="334" builtinId="9" hidden="1"/>
    <cellStyle name="Lien hypertexte visité" xfId="340" builtinId="9" hidden="1"/>
    <cellStyle name="Lien hypertexte visité" xfId="342" builtinId="9" hidden="1"/>
    <cellStyle name="Lien hypertexte visité" xfId="349" builtinId="9" hidden="1"/>
    <cellStyle name="Lien hypertexte visité" xfId="353" builtinId="9" hidden="1"/>
    <cellStyle name="Lien hypertexte visité" xfId="358" builtinId="9" hidden="1"/>
    <cellStyle name="Lien hypertexte visité" xfId="362" builtinId="9" hidden="1"/>
    <cellStyle name="Lien hypertexte visité" xfId="368" builtinId="9" hidden="1"/>
    <cellStyle name="Lien hypertexte visité" xfId="372" builtinId="9" hidden="1"/>
    <cellStyle name="Lien hypertexte visité" xfId="378" builtinId="9" hidden="1"/>
    <cellStyle name="Lien hypertexte visité" xfId="382" builtinId="9" hidden="1"/>
    <cellStyle name="Lien hypertexte visité" xfId="386" builtinId="9" hidden="1"/>
    <cellStyle name="Lien hypertexte visité" xfId="388" builtinId="9" hidden="1"/>
    <cellStyle name="Lien hypertexte visité" xfId="398" builtinId="9" hidden="1"/>
    <cellStyle name="Lien hypertexte visité" xfId="400" builtinId="9" hidden="1"/>
    <cellStyle name="Lien hypertexte visité" xfId="404" builtinId="9" hidden="1"/>
    <cellStyle name="Lien hypertexte visité" xfId="410" builtinId="9" hidden="1"/>
    <cellStyle name="Lien hypertexte visité" xfId="414" builtinId="9" hidden="1"/>
    <cellStyle name="Lien hypertexte visité" xfId="416" builtinId="9" hidden="1"/>
    <cellStyle name="Lien hypertexte visité" xfId="426" builtinId="9" hidden="1"/>
    <cellStyle name="Lien hypertexte visité" xfId="428" builtinId="9" hidden="1"/>
    <cellStyle name="Lien hypertexte visité" xfId="432" builtinId="9" hidden="1"/>
    <cellStyle name="Lien hypertexte visité" xfId="436" builtinId="9" hidden="1"/>
    <cellStyle name="Lien hypertexte visité" xfId="442" builtinId="9" hidden="1"/>
    <cellStyle name="Lien hypertexte visité" xfId="446" builtinId="9" hidden="1"/>
    <cellStyle name="Lien hypertexte visité" xfId="452" builtinId="9" hidden="1"/>
    <cellStyle name="Lien hypertexte visité" xfId="454" builtinId="9" hidden="1"/>
    <cellStyle name="Lien hypertexte visité" xfId="481" builtinId="9" hidden="1"/>
    <cellStyle name="Lien hypertexte visité" xfId="485" builtinId="9" hidden="1"/>
    <cellStyle name="Lien hypertexte visité" xfId="491" builtinId="9" hidden="1"/>
    <cellStyle name="Lien hypertexte visité" xfId="495" builtinId="9" hidden="1"/>
    <cellStyle name="Lien hypertexte visité" xfId="501" builtinId="9" hidden="1"/>
    <cellStyle name="Lien hypertexte visité" xfId="503" builtinId="9" hidden="1"/>
    <cellStyle name="Lien hypertexte visité" xfId="507" builtinId="9" hidden="1"/>
    <cellStyle name="Lien hypertexte visité" xfId="517" builtinId="9" hidden="1"/>
    <cellStyle name="Lien hypertexte visité" xfId="519" builtinId="9" hidden="1"/>
    <cellStyle name="Lien hypertexte visité" xfId="521" builtinId="9" hidden="1"/>
    <cellStyle name="Lien hypertexte visité" xfId="529" builtinId="9" hidden="1"/>
    <cellStyle name="Lien hypertexte visité" xfId="531" builtinId="9" hidden="1"/>
    <cellStyle name="Lien hypertexte visité" xfId="535" builtinId="9" hidden="1"/>
    <cellStyle name="Lien hypertexte visité" xfId="489" builtinId="9" hidden="1"/>
    <cellStyle name="Lien hypertexte visité" xfId="444" builtinId="9" hidden="1"/>
    <cellStyle name="Lien hypertexte visité" xfId="418" builtinId="9" hidden="1"/>
    <cellStyle name="Lien hypertexte visité" xfId="370" builtinId="9" hidden="1"/>
    <cellStyle name="Lien hypertexte visité" xfId="346" builtinId="9" hidden="1"/>
    <cellStyle name="Lien hypertexte visité" xfId="322" builtinId="9" hidden="1"/>
    <cellStyle name="Lien hypertexte visité" xfId="272" builtinId="9" hidden="1"/>
    <cellStyle name="Lien hypertexte visité" xfId="250" builtinId="9" hidden="1"/>
    <cellStyle name="Lien hypertexte visité" xfId="224" builtinId="9" hidden="1"/>
    <cellStyle name="Lien hypertexte visité" xfId="701" builtinId="9" hidden="1"/>
    <cellStyle name="Lien hypertexte visité" xfId="789" builtinId="9" hidden="1"/>
    <cellStyle name="Lien hypertexte visité" xfId="877" builtinId="9" hidden="1"/>
    <cellStyle name="Lien hypertexte visité" xfId="1046" builtinId="9" hidden="1"/>
    <cellStyle name="Lien hypertexte visité" xfId="1420" builtinId="9" hidden="1"/>
    <cellStyle name="Lien hypertexte visité" xfId="1424" builtinId="9" hidden="1"/>
    <cellStyle name="Lien hypertexte visité" xfId="1432" builtinId="9" hidden="1"/>
    <cellStyle name="Lien hypertexte visité" xfId="1434" builtinId="9" hidden="1"/>
    <cellStyle name="Lien hypertexte visité" xfId="1440" builtinId="9" hidden="1"/>
    <cellStyle name="Lien hypertexte visité" xfId="1444" builtinId="9" hidden="1"/>
    <cellStyle name="Lien hypertexte visité" xfId="1450" builtinId="9" hidden="1"/>
    <cellStyle name="Lien hypertexte visité" xfId="1452" builtinId="9" hidden="1"/>
    <cellStyle name="Lien hypertexte visité" xfId="1460" builtinId="9" hidden="1"/>
    <cellStyle name="Lien hypertexte visité" xfId="1464" builtinId="9" hidden="1"/>
    <cellStyle name="Lien hypertexte visité" xfId="1466" builtinId="9" hidden="1"/>
    <cellStyle name="Lien hypertexte visité" xfId="1476" builtinId="9" hidden="1"/>
    <cellStyle name="Lien hypertexte visité" xfId="1482" builtinId="9" hidden="1"/>
    <cellStyle name="Lien hypertexte visité" xfId="1484" builtinId="9" hidden="1"/>
    <cellStyle name="Lien hypertexte visité" xfId="1492" builtinId="9" hidden="1"/>
    <cellStyle name="Lien hypertexte visité" xfId="1494" builtinId="9" hidden="1"/>
    <cellStyle name="Lien hypertexte visité" xfId="1486" builtinId="9" hidden="1"/>
    <cellStyle name="Lien hypertexte visité" xfId="1462" builtinId="9" hidden="1"/>
    <cellStyle name="Lien hypertexte visité" xfId="1454" builtinId="9" hidden="1"/>
    <cellStyle name="Lien hypertexte visité" xfId="1438" builtinId="9" hidden="1"/>
    <cellStyle name="Lien hypertexte visité" xfId="1422" builtinId="9" hidden="1"/>
    <cellStyle name="Lien hypertexte visité" xfId="1406" builtinId="9" hidden="1"/>
    <cellStyle name="Lien hypertexte visité" xfId="1398" builtinId="9" hidden="1"/>
    <cellStyle name="Lien hypertexte visité" xfId="1366" builtinId="9" hidden="1"/>
    <cellStyle name="Lien hypertexte visité" xfId="1358" builtinId="9" hidden="1"/>
    <cellStyle name="Lien hypertexte visité" xfId="1342" builtinId="9" hidden="1"/>
    <cellStyle name="Lien hypertexte visité" xfId="1326" builtinId="9" hidden="1"/>
    <cellStyle name="Lien hypertexte visité" xfId="1310" builtinId="9" hidden="1"/>
    <cellStyle name="Lien hypertexte visité" xfId="1302" builtinId="9" hidden="1"/>
    <cellStyle name="Lien hypertexte visité" xfId="1278" builtinId="9" hidden="1"/>
    <cellStyle name="Lien hypertexte visité" xfId="1270" builtinId="9" hidden="1"/>
    <cellStyle name="Lien hypertexte visité" xfId="1262" builtinId="9" hidden="1"/>
    <cellStyle name="Lien hypertexte visité" xfId="1238" builtinId="9" hidden="1"/>
    <cellStyle name="Lien hypertexte visité" xfId="1230" builtinId="9" hidden="1"/>
    <cellStyle name="Lien hypertexte visité" xfId="1206" builtinId="9" hidden="1"/>
    <cellStyle name="Lien hypertexte visité" xfId="1182" builtinId="9" hidden="1"/>
    <cellStyle name="Lien hypertexte visité" xfId="1174" builtinId="9" hidden="1"/>
    <cellStyle name="Lien hypertexte visité" xfId="1166" builtinId="9" hidden="1"/>
    <cellStyle name="Lien hypertexte visité" xfId="1142" builtinId="9" hidden="1"/>
    <cellStyle name="Lien hypertexte visité" xfId="1134" builtinId="9" hidden="1"/>
    <cellStyle name="Lien hypertexte visité" xfId="1118" builtinId="9" hidden="1"/>
    <cellStyle name="Lien hypertexte visité" xfId="1102" builtinId="9" hidden="1"/>
    <cellStyle name="Lien hypertexte visité" xfId="1214" builtinId="9" hidden="1"/>
    <cellStyle name="Lien hypertexte visité" xfId="1390" builtinId="9" hidden="1"/>
    <cellStyle name="Lien hypertexte visité" xfId="1418" builtinId="9" hidden="1"/>
    <cellStyle name="Lien hypertexte visité" xfId="1324" builtinId="9" hidden="1"/>
    <cellStyle name="Lien hypertexte visité" xfId="1328" builtinId="9" hidden="1"/>
    <cellStyle name="Lien hypertexte visité" xfId="1336" builtinId="9" hidden="1"/>
    <cellStyle name="Lien hypertexte visité" xfId="1338" builtinId="9" hidden="1"/>
    <cellStyle name="Lien hypertexte visité" xfId="1344" builtinId="9" hidden="1"/>
    <cellStyle name="Lien hypertexte visité" xfId="1348" builtinId="9" hidden="1"/>
    <cellStyle name="Lien hypertexte visité" xfId="1354" builtinId="9" hidden="1"/>
    <cellStyle name="Lien hypertexte visité" xfId="1356" builtinId="9" hidden="1"/>
    <cellStyle name="Lien hypertexte visité" xfId="1364" builtinId="9" hidden="1"/>
    <cellStyle name="Lien hypertexte visité" xfId="1368" builtinId="9" hidden="1"/>
    <cellStyle name="Lien hypertexte visité" xfId="1370" builtinId="9" hidden="1"/>
    <cellStyle name="Lien hypertexte visité" xfId="1378" builtinId="9" hidden="1"/>
    <cellStyle name="Lien hypertexte visité" xfId="1380" builtinId="9" hidden="1"/>
    <cellStyle name="Lien hypertexte visité" xfId="1386" builtinId="9" hidden="1"/>
    <cellStyle name="Lien hypertexte visité" xfId="1392" builtinId="9" hidden="1"/>
    <cellStyle name="Lien hypertexte visité" xfId="1396" builtinId="9" hidden="1"/>
    <cellStyle name="Lien hypertexte visité" xfId="1400" builtinId="9" hidden="1"/>
    <cellStyle name="Lien hypertexte visité" xfId="1408" builtinId="9" hidden="1"/>
    <cellStyle name="Lien hypertexte visité" xfId="1410" builtinId="9" hidden="1"/>
    <cellStyle name="Lien hypertexte visité" xfId="1412" builtinId="9" hidden="1"/>
    <cellStyle name="Lien hypertexte visité" xfId="1282" builtinId="9" hidden="1"/>
    <cellStyle name="Lien hypertexte visité" xfId="1284" builtinId="9" hidden="1"/>
    <cellStyle name="Lien hypertexte visité" xfId="1290" builtinId="9" hidden="1"/>
    <cellStyle name="Lien hypertexte visité" xfId="1296" builtinId="9" hidden="1"/>
    <cellStyle name="Lien hypertexte visité" xfId="1300" builtinId="9" hidden="1"/>
    <cellStyle name="Lien hypertexte visité" xfId="1304" builtinId="9" hidden="1"/>
    <cellStyle name="Lien hypertexte visité" xfId="1312" builtinId="9" hidden="1"/>
    <cellStyle name="Lien hypertexte visité" xfId="1314" builtinId="9" hidden="1"/>
    <cellStyle name="Lien hypertexte visité" xfId="1316" builtinId="9" hidden="1"/>
    <cellStyle name="Lien hypertexte visité" xfId="1258" builtinId="9" hidden="1"/>
    <cellStyle name="Lien hypertexte visité" xfId="1260" builtinId="9" hidden="1"/>
    <cellStyle name="Lien hypertexte visité" xfId="1264" builtinId="9" hidden="1"/>
    <cellStyle name="Lien hypertexte visité" xfId="1272" builtinId="9" hidden="1"/>
    <cellStyle name="Lien hypertexte visité" xfId="1274" builtinId="9" hidden="1"/>
    <cellStyle name="Lien hypertexte visité" xfId="1248" builtinId="9" hidden="1"/>
    <cellStyle name="Lien hypertexte visité" xfId="1252" builtinId="9" hidden="1"/>
    <cellStyle name="Lien hypertexte visité" xfId="1240" builtinId="9" hidden="1"/>
    <cellStyle name="Lien hypertexte visité" xfId="1242" builtinId="9" hidden="1"/>
    <cellStyle name="Lien hypertexte visité" xfId="1236" builtinId="9" hidden="1"/>
    <cellStyle name="Lien hypertexte visité" xfId="1250" builtinId="9" hidden="1"/>
    <cellStyle name="Lien hypertexte visité" xfId="1268" builtinId="9" hidden="1"/>
    <cellStyle name="Lien hypertexte visité" xfId="1322" builtinId="9" hidden="1"/>
    <cellStyle name="Lien hypertexte visité" xfId="1306" builtinId="9" hidden="1"/>
    <cellStyle name="Lien hypertexte visité" xfId="1292" builtinId="9" hidden="1"/>
    <cellStyle name="Lien hypertexte visité" xfId="1280" builtinId="9" hidden="1"/>
    <cellStyle name="Lien hypertexte visité" xfId="1402" builtinId="9" hidden="1"/>
    <cellStyle name="Lien hypertexte visité" xfId="1388" builtinId="9" hidden="1"/>
    <cellStyle name="Lien hypertexte visité" xfId="1376" builtinId="9" hidden="1"/>
    <cellStyle name="Lien hypertexte visité" xfId="1360" builtinId="9" hidden="1"/>
    <cellStyle name="Lien hypertexte visité" xfId="1346" builtinId="9" hidden="1"/>
    <cellStyle name="Lien hypertexte visité" xfId="1332" builtinId="9" hidden="1"/>
    <cellStyle name="Lien hypertexte visité" xfId="1474" builtinId="9" hidden="1"/>
    <cellStyle name="Lien hypertexte visité" xfId="1110" builtinId="9" hidden="1"/>
    <cellStyle name="Lien hypertexte visité" xfId="1150" builtinId="9" hidden="1"/>
    <cellStyle name="Lien hypertexte visité" xfId="1198" builtinId="9" hidden="1"/>
    <cellStyle name="Lien hypertexte visité" xfId="1246" builtinId="9" hidden="1"/>
    <cellStyle name="Lien hypertexte visité" xfId="1294" builtinId="9" hidden="1"/>
    <cellStyle name="Lien hypertexte visité" xfId="1334" builtinId="9" hidden="1"/>
    <cellStyle name="Lien hypertexte visité" xfId="1374" builtinId="9" hidden="1"/>
    <cellStyle name="Lien hypertexte visité" xfId="1430" builtinId="9" hidden="1"/>
    <cellStyle name="Lien hypertexte visité" xfId="1470" builtinId="9" hidden="1"/>
    <cellStyle name="Lien hypertexte visité" xfId="1488" builtinId="9" hidden="1"/>
    <cellStyle name="Lien hypertexte visité" xfId="1472" builtinId="9" hidden="1"/>
    <cellStyle name="Lien hypertexte visité" xfId="1456" builtinId="9" hidden="1"/>
    <cellStyle name="Lien hypertexte visité" xfId="1442" builtinId="9" hidden="1"/>
    <cellStyle name="Lien hypertexte visité" xfId="1428" builtinId="9" hidden="1"/>
    <cellStyle name="Lien hypertexte visité" xfId="958" builtinId="9" hidden="1"/>
    <cellStyle name="Lien hypertexte visité" xfId="621" builtinId="9" hidden="1"/>
    <cellStyle name="Lien hypertexte visité" xfId="298" builtinId="9" hidden="1"/>
    <cellStyle name="Lien hypertexte visité" xfId="396" builtinId="9" hidden="1"/>
    <cellStyle name="Lien hypertexte visité" xfId="513" builtinId="9" hidden="1"/>
    <cellStyle name="Lien hypertexte visité" xfId="527" builtinId="9" hidden="1"/>
    <cellStyle name="Lien hypertexte visité" xfId="511" builtinId="9" hidden="1"/>
    <cellStyle name="Lien hypertexte visité" xfId="499" builtinId="9" hidden="1"/>
    <cellStyle name="Lien hypertexte visité" xfId="483" builtinId="9" hidden="1"/>
    <cellStyle name="Lien hypertexte visité" xfId="450" builtinId="9" hidden="1"/>
    <cellStyle name="Lien hypertexte visité" xfId="434" builtinId="9" hidden="1"/>
    <cellStyle name="Lien hypertexte visité" xfId="422" builtinId="9" hidden="1"/>
    <cellStyle name="Lien hypertexte visité" xfId="406" builtinId="9" hidden="1"/>
    <cellStyle name="Lien hypertexte visité" xfId="390" builtinId="9" hidden="1"/>
    <cellStyle name="Lien hypertexte visité" xfId="380" builtinId="9" hidden="1"/>
    <cellStyle name="Lien hypertexte visité" xfId="364" builtinId="9" hidden="1"/>
    <cellStyle name="Lien hypertexte visité" xfId="351" builtinId="9" hidden="1"/>
    <cellStyle name="Lien hypertexte visité" xfId="336" builtinId="9" hidden="1"/>
    <cellStyle name="Lien hypertexte visité" xfId="324" builtinId="9" hidden="1"/>
    <cellStyle name="Lien hypertexte visité" xfId="308" builtinId="9" hidden="1"/>
    <cellStyle name="Lien hypertexte visité" xfId="294" builtinId="9" hidden="1"/>
    <cellStyle name="Lien hypertexte visité" xfId="282" builtinId="9" hidden="1"/>
    <cellStyle name="Lien hypertexte visité" xfId="268" builtinId="9" hidden="1"/>
    <cellStyle name="Lien hypertexte visité" xfId="254" builtinId="9" hidden="1"/>
    <cellStyle name="Lien hypertexte visité" xfId="240" builtinId="9" hidden="1"/>
    <cellStyle name="Lien hypertexte visité" xfId="226" builtinId="9" hidden="1"/>
    <cellStyle name="Lien hypertexte visité" xfId="573" builtinId="9" hidden="1"/>
    <cellStyle name="Lien hypertexte visité" xfId="629" builtinId="9" hidden="1"/>
    <cellStyle name="Lien hypertexte visité" xfId="669" builtinId="9" hidden="1"/>
    <cellStyle name="Lien hypertexte visité" xfId="725" builtinId="9" hidden="1"/>
    <cellStyle name="Lien hypertexte visité" xfId="765" builtinId="9" hidden="1"/>
    <cellStyle name="Lien hypertexte visité" xfId="821" builtinId="9" hidden="1"/>
    <cellStyle name="Lien hypertexte visité" xfId="861" builtinId="9" hidden="1"/>
    <cellStyle name="Lien hypertexte visité" xfId="918" builtinId="9" hidden="1"/>
    <cellStyle name="Lien hypertexte visité" xfId="974" builtinId="9" hidden="1"/>
    <cellStyle name="Lien hypertexte visité" xfId="1014" builtinId="9" hidden="1"/>
    <cellStyle name="Lien hypertexte visité" xfId="1070" builtinId="9" hidden="1"/>
    <cellStyle name="Lien hypertexte visité" xfId="456" builtinId="9" hidden="1"/>
    <cellStyle name="Lien hypertexte visité" xfId="120" builtinId="9" hidden="1"/>
    <cellStyle name="Lien hypertexte visité" xfId="164" builtinId="9" hidden="1"/>
    <cellStyle name="Lien hypertexte visité" xfId="210" builtinId="9" hidden="1"/>
    <cellStyle name="Lien hypertexte visité" xfId="74" builtinId="9" hidden="1"/>
    <cellStyle name="Lien hypertexte visité" xfId="38" builtinId="9" hidden="1"/>
    <cellStyle name="Lien hypertexte visité" xfId="20" builtinId="9" hidden="1"/>
    <cellStyle name="Lien hypertexte visité" xfId="186" builtinId="9" hidden="1"/>
    <cellStyle name="Lien hypertexte visité" xfId="523" builtinId="9" hidden="1"/>
    <cellStyle name="Lien hypertexte visité" xfId="355" builtinId="9" hidden="1"/>
    <cellStyle name="Lien hypertexte visité" xfId="581" builtinId="9" hidden="1"/>
    <cellStyle name="Lien hypertexte visité" xfId="1094" builtinId="9" hidden="1"/>
    <cellStyle name="Lien hypertexte visité" xfId="1458" builtinId="9" hidden="1"/>
    <cellStyle name="Lien hypertexte visité" xfId="1288" builtinId="9" hidden="1"/>
    <cellStyle name="Lien hypertexte visité" xfId="867" builtinId="9" hidden="1"/>
    <cellStyle name="Lien hypertexte visité" xfId="920" builtinId="9" hidden="1"/>
    <cellStyle name="Lien hypertexte visité" xfId="968" builtinId="9" hidden="1"/>
    <cellStyle name="Lien hypertexte visité" xfId="1016" builtinId="9" hidden="1"/>
    <cellStyle name="Lien hypertexte visité" xfId="1066" builtinId="9" hidden="1"/>
    <cellStyle name="Lien hypertexte visité" xfId="1114" builtinId="9" hidden="1"/>
    <cellStyle name="Lien hypertexte visité" xfId="1162" builtinId="9" hidden="1"/>
    <cellStyle name="Lien hypertexte visité" xfId="1210" builtinId="9" hidden="1"/>
    <cellStyle name="Lien hypertexte visité" xfId="1042" builtinId="9" hidden="1"/>
    <cellStyle name="Lien hypertexte visité" xfId="697" builtinId="9" hidden="1"/>
    <cellStyle name="Lien hypertexte visité" xfId="743" builtinId="9" hidden="1"/>
    <cellStyle name="Lien hypertexte visité" xfId="787" builtinId="9" hidden="1"/>
    <cellStyle name="Lien hypertexte visité" xfId="833" builtinId="9" hidden="1"/>
    <cellStyle name="Lien hypertexte visité" xfId="635" builtinId="9" hidden="1"/>
    <cellStyle name="Lien hypertexte visité" xfId="575" builtinId="9" hidden="1"/>
    <cellStyle name="Lien hypertexte visité" xfId="567" builtinId="9" hidden="1"/>
    <cellStyle name="Lien hypertexte visité" xfId="545" builtinId="9" hidden="1"/>
    <cellStyle name="Lien hypertexte visité" xfId="569" builtinId="9" hidden="1"/>
    <cellStyle name="Lien hypertexte visité" xfId="603" builtinId="9" hidden="1"/>
    <cellStyle name="Lien hypertexte visité" xfId="591" builtinId="9" hidden="1"/>
    <cellStyle name="Lien hypertexte visité" xfId="577" builtinId="9" hidden="1"/>
    <cellStyle name="Lien hypertexte visité" xfId="665" builtinId="9" hidden="1"/>
    <cellStyle name="Lien hypertexte visité" xfId="651" builtinId="9" hidden="1"/>
    <cellStyle name="Lien hypertexte visité" xfId="639" builtinId="9" hidden="1"/>
    <cellStyle name="Lien hypertexte visité" xfId="623" builtinId="9" hidden="1"/>
    <cellStyle name="Lien hypertexte visité" xfId="609" builtinId="9" hidden="1"/>
    <cellStyle name="Lien hypertexte visité" xfId="835" builtinId="9" hidden="1"/>
    <cellStyle name="Lien hypertexte visité" xfId="819" builtinId="9" hidden="1"/>
    <cellStyle name="Lien hypertexte visité" xfId="803" builtinId="9" hidden="1"/>
    <cellStyle name="Lien hypertexte visité" xfId="791" builtinId="9" hidden="1"/>
    <cellStyle name="Lien hypertexte visité" xfId="775" builtinId="9" hidden="1"/>
    <cellStyle name="Lien hypertexte visité" xfId="759" builtinId="9" hidden="1"/>
    <cellStyle name="Lien hypertexte visité" xfId="745" builtinId="9" hidden="1"/>
    <cellStyle name="Lien hypertexte visité" xfId="729" builtinId="9" hidden="1"/>
    <cellStyle name="Lien hypertexte visité" xfId="713" builtinId="9" hidden="1"/>
    <cellStyle name="Lien hypertexte visité" xfId="699" builtinId="9" hidden="1"/>
    <cellStyle name="Lien hypertexte visité" xfId="683" builtinId="9" hidden="1"/>
    <cellStyle name="Lien hypertexte visité" xfId="914" builtinId="9" hidden="1"/>
    <cellStyle name="Lien hypertexte visité" xfId="1020" builtinId="9" hidden="1"/>
    <cellStyle name="Lien hypertexte visité" xfId="1148" builtinId="9" hidden="1"/>
    <cellStyle name="Lien hypertexte visité" xfId="1228" builtinId="9" hidden="1"/>
    <cellStyle name="Lien hypertexte visité" xfId="347" builtinId="9" hidden="1"/>
    <cellStyle name="Lien hypertexte visité" xfId="338" builtinId="9" hidden="1"/>
    <cellStyle name="Lien hypertexte visité" xfId="330" builtinId="9" hidden="1"/>
    <cellStyle name="Lien hypertexte visité" xfId="310" builtinId="9" hidden="1"/>
    <cellStyle name="Lien hypertexte visité" xfId="292" builtinId="9" hidden="1"/>
    <cellStyle name="Lien hypertexte visité" xfId="274" builtinId="9" hidden="1"/>
    <cellStyle name="Lien hypertexte visité" xfId="266" builtinId="9" hidden="1"/>
    <cellStyle name="Lien hypertexte visité" xfId="256" builtinId="9" hidden="1"/>
    <cellStyle name="Lien hypertexte visité" xfId="238" builtinId="9" hidden="1"/>
    <cellStyle name="Lien hypertexte visité" xfId="228" builtinId="9" hidden="1"/>
    <cellStyle name="Lien hypertexte visité" xfId="549" builtinId="9" hidden="1"/>
    <cellStyle name="Lien hypertexte visité" xfId="645" builtinId="9" hidden="1"/>
    <cellStyle name="Lien hypertexte visité" xfId="677" builtinId="9" hidden="1"/>
    <cellStyle name="Lien hypertexte visité" xfId="741" builtinId="9" hidden="1"/>
    <cellStyle name="Lien hypertexte visité" xfId="773" builtinId="9" hidden="1"/>
    <cellStyle name="Lien hypertexte visité" xfId="805" builtinId="9" hidden="1"/>
    <cellStyle name="Lien hypertexte visité" xfId="869" builtinId="9" hidden="1"/>
    <cellStyle name="Lien hypertexte visité" xfId="902" builtinId="9" hidden="1"/>
    <cellStyle name="Lien hypertexte visité" xfId="998" builtinId="9" hidden="1"/>
    <cellStyle name="Lien hypertexte visité" xfId="1030" builtinId="9" hidden="1"/>
    <cellStyle name="Lien hypertexte visité" xfId="1062" builtinId="9" hidden="1"/>
    <cellStyle name="Lien hypertexte visité" xfId="1126" builtinId="9" hidden="1"/>
    <cellStyle name="Lien hypertexte visité" xfId="1158" builtinId="9" hidden="1"/>
    <cellStyle name="Lien hypertexte visité" xfId="1190" builtinId="9" hidden="1"/>
    <cellStyle name="Lien hypertexte visité" xfId="1254" builtinId="9" hidden="1"/>
    <cellStyle name="Lien hypertexte visité" xfId="1318" builtinId="9" hidden="1"/>
    <cellStyle name="Lien hypertexte visité" xfId="1382" builtinId="9" hidden="1"/>
    <cellStyle name="Lien hypertexte visité" xfId="1414" builtinId="9" hidden="1"/>
    <cellStyle name="Lien hypertexte visité" xfId="1446" builtinId="9" hidden="1"/>
    <cellStyle name="Lien hypertexte visité" xfId="1490" builtinId="9" hidden="1"/>
    <cellStyle name="Lien hypertexte visité" xfId="1480" builtinId="9" hidden="1"/>
    <cellStyle name="Lien hypertexte visité" xfId="1468" builtinId="9" hidden="1"/>
    <cellStyle name="Lien hypertexte visité" xfId="1436" builtinId="9" hidden="1"/>
    <cellStyle name="Lien hypertexte visité" xfId="1426" builtinId="9" hidden="1"/>
    <cellStyle name="Lien hypertexte visité" xfId="1404" builtinId="9" hidden="1"/>
    <cellStyle name="Lien hypertexte visité" xfId="1394" builtinId="9" hidden="1"/>
    <cellStyle name="Lien hypertexte visité" xfId="1384" builtinId="9" hidden="1"/>
    <cellStyle name="Lien hypertexte visité" xfId="1362" builtinId="9" hidden="1"/>
    <cellStyle name="Lien hypertexte visité" xfId="1352" builtinId="9" hidden="1"/>
    <cellStyle name="Lien hypertexte visité" xfId="1320" builtinId="9" hidden="1"/>
    <cellStyle name="Lien hypertexte visité" xfId="1308" builtinId="9" hidden="1"/>
    <cellStyle name="Lien hypertexte visité" xfId="1298" builtinId="9" hidden="1"/>
    <cellStyle name="Lien hypertexte visité" xfId="1276" builtinId="9" hidden="1"/>
    <cellStyle name="Lien hypertexte visité" xfId="1266" builtinId="9" hidden="1"/>
    <cellStyle name="Lien hypertexte visité" xfId="1256" builtinId="9" hidden="1"/>
    <cellStyle name="Lien hypertexte visité" xfId="1234" builtinId="9" hidden="1"/>
    <cellStyle name="Lien hypertexte visité" xfId="841" builtinId="9" hidden="1"/>
    <cellStyle name="Lien hypertexte visité" xfId="847" builtinId="9" hidden="1"/>
    <cellStyle name="Lien hypertexte visité" xfId="851" builtinId="9" hidden="1"/>
    <cellStyle name="Lien hypertexte visité" xfId="855" builtinId="9" hidden="1"/>
    <cellStyle name="Lien hypertexte visité" xfId="859" builtinId="9" hidden="1"/>
    <cellStyle name="Lien hypertexte visité" xfId="863" builtinId="9" hidden="1"/>
    <cellStyle name="Lien hypertexte visité" xfId="865" builtinId="9" hidden="1"/>
    <cellStyle name="Lien hypertexte visité" xfId="875" builtinId="9" hidden="1"/>
    <cellStyle name="Lien hypertexte visité" xfId="879" builtinId="9" hidden="1"/>
    <cellStyle name="Lien hypertexte visité" xfId="884" builtinId="9" hidden="1"/>
    <cellStyle name="Lien hypertexte visité" xfId="888" builtinId="9" hidden="1"/>
    <cellStyle name="Lien hypertexte visité" xfId="890" builtinId="9" hidden="1"/>
    <cellStyle name="Lien hypertexte visité" xfId="898" builtinId="9" hidden="1"/>
    <cellStyle name="Lien hypertexte visité" xfId="900" builtinId="9" hidden="1"/>
    <cellStyle name="Lien hypertexte visité" xfId="908" builtinId="9" hidden="1"/>
    <cellStyle name="Lien hypertexte visité" xfId="912" builtinId="9" hidden="1"/>
    <cellStyle name="Lien hypertexte visité" xfId="916" builtinId="9" hidden="1"/>
    <cellStyle name="Lien hypertexte visité" xfId="922" builtinId="9" hidden="1"/>
    <cellStyle name="Lien hypertexte visité" xfId="924" builtinId="9" hidden="1"/>
    <cellStyle name="Lien hypertexte visité" xfId="928" builtinId="9" hidden="1"/>
    <cellStyle name="Lien hypertexte visité" xfId="932" builtinId="9" hidden="1"/>
    <cellStyle name="Lien hypertexte visité" xfId="940" builtinId="9" hidden="1"/>
    <cellStyle name="Lien hypertexte visité" xfId="946" builtinId="9" hidden="1"/>
    <cellStyle name="Lien hypertexte visité" xfId="948" builtinId="9" hidden="1"/>
    <cellStyle name="Lien hypertexte visité" xfId="952" builtinId="9" hidden="1"/>
    <cellStyle name="Lien hypertexte visité" xfId="960" builtinId="9" hidden="1"/>
    <cellStyle name="Lien hypertexte visité" xfId="962" builtinId="9" hidden="1"/>
    <cellStyle name="Lien hypertexte visité" xfId="964" builtinId="9" hidden="1"/>
    <cellStyle name="Lien hypertexte visité" xfId="972" builtinId="9" hidden="1"/>
    <cellStyle name="Lien hypertexte visité" xfId="976" builtinId="9" hidden="1"/>
    <cellStyle name="Lien hypertexte visité" xfId="984" builtinId="9" hidden="1"/>
    <cellStyle name="Lien hypertexte visité" xfId="986" builtinId="9" hidden="1"/>
    <cellStyle name="Lien hypertexte visité" xfId="988" builtinId="9" hidden="1"/>
    <cellStyle name="Lien hypertexte visité" xfId="994" builtinId="9" hidden="1"/>
    <cellStyle name="Lien hypertexte visité" xfId="996" builtinId="9" hidden="1"/>
    <cellStyle name="Lien hypertexte visité" xfId="1008" builtinId="9" hidden="1"/>
    <cellStyle name="Lien hypertexte visité" xfId="1010" builtinId="9" hidden="1"/>
    <cellStyle name="Lien hypertexte visité" xfId="1012" builtinId="9" hidden="1"/>
    <cellStyle name="Lien hypertexte visité" xfId="1018" builtinId="9" hidden="1"/>
    <cellStyle name="Lien hypertexte visité" xfId="1024" builtinId="9" hidden="1"/>
    <cellStyle name="Lien hypertexte visité" xfId="1026" builtinId="9" hidden="1"/>
    <cellStyle name="Lien hypertexte visité" xfId="1032" builtinId="9" hidden="1"/>
    <cellStyle name="Lien hypertexte visité" xfId="1036" builtinId="9" hidden="1"/>
    <cellStyle name="Lien hypertexte visité" xfId="1044" builtinId="9" hidden="1"/>
    <cellStyle name="Lien hypertexte visité" xfId="1048" builtinId="9" hidden="1"/>
    <cellStyle name="Lien hypertexte visité" xfId="1050" builtinId="9" hidden="1"/>
    <cellStyle name="Lien hypertexte visité" xfId="1056" builtinId="9" hidden="1"/>
    <cellStyle name="Lien hypertexte visité" xfId="1058" builtinId="9" hidden="1"/>
    <cellStyle name="Lien hypertexte visité" xfId="1060" builtinId="9" hidden="1"/>
    <cellStyle name="Lien hypertexte visité" xfId="1072" builtinId="9" hidden="1"/>
    <cellStyle name="Lien hypertexte visité" xfId="1074" builtinId="9" hidden="1"/>
    <cellStyle name="Lien hypertexte visité" xfId="1080" builtinId="9" hidden="1"/>
    <cellStyle name="Lien hypertexte visité" xfId="1082" builtinId="9" hidden="1"/>
    <cellStyle name="Lien hypertexte visité" xfId="1088" builtinId="9" hidden="1"/>
    <cellStyle name="Lien hypertexte visité" xfId="1092" builtinId="9" hidden="1"/>
    <cellStyle name="Lien hypertexte visité" xfId="1096" builtinId="9" hidden="1"/>
    <cellStyle name="Lien hypertexte visité" xfId="1104" builtinId="9" hidden="1"/>
    <cellStyle name="Lien hypertexte visité" xfId="1108" builtinId="9" hidden="1"/>
    <cellStyle name="Lien hypertexte visité" xfId="1112" builtinId="9" hidden="1"/>
    <cellStyle name="Lien hypertexte visité" xfId="1116" builtinId="9" hidden="1"/>
    <cellStyle name="Lien hypertexte visité" xfId="1120" builtinId="9" hidden="1"/>
    <cellStyle name="Lien hypertexte visité" xfId="1122" builtinId="9" hidden="1"/>
    <cellStyle name="Lien hypertexte visité" xfId="1130" builtinId="9" hidden="1"/>
    <cellStyle name="Lien hypertexte visité" xfId="1136" builtinId="9" hidden="1"/>
    <cellStyle name="Lien hypertexte visité" xfId="1140" builtinId="9" hidden="1"/>
    <cellStyle name="Lien hypertexte visité" xfId="1144" builtinId="9" hidden="1"/>
    <cellStyle name="Lien hypertexte visité" xfId="1146" builtinId="9" hidden="1"/>
    <cellStyle name="Lien hypertexte visité" xfId="1154" builtinId="9" hidden="1"/>
    <cellStyle name="Lien hypertexte visité" xfId="1156" builtinId="9" hidden="1"/>
    <cellStyle name="Lien hypertexte visité" xfId="1160" builtinId="9" hidden="1"/>
    <cellStyle name="Lien hypertexte visité" xfId="1168" builtinId="9" hidden="1"/>
    <cellStyle name="Lien hypertexte visité" xfId="1172" builtinId="9" hidden="1"/>
    <cellStyle name="Lien hypertexte visité" xfId="1178" builtinId="9" hidden="1"/>
    <cellStyle name="Lien hypertexte visité" xfId="1180" builtinId="9" hidden="1"/>
    <cellStyle name="Lien hypertexte visité" xfId="1184" builtinId="9" hidden="1"/>
    <cellStyle name="Lien hypertexte visité" xfId="1188" builtinId="9" hidden="1"/>
    <cellStyle name="Lien hypertexte visité" xfId="1194" builtinId="9" hidden="1"/>
    <cellStyle name="Lien hypertexte visité" xfId="1202" builtinId="9" hidden="1"/>
    <cellStyle name="Lien hypertexte visité" xfId="1204" builtinId="9" hidden="1"/>
    <cellStyle name="Lien hypertexte visité" xfId="1208" builtinId="9" hidden="1"/>
    <cellStyle name="Lien hypertexte visité" xfId="1216" builtinId="9" hidden="1"/>
    <cellStyle name="Lien hypertexte visité" xfId="1218" builtinId="9" hidden="1"/>
    <cellStyle name="Lien hypertexte visité" xfId="1220" builtinId="9" hidden="1"/>
    <cellStyle name="Lien hypertexte visité" xfId="1226" builtinId="9" hidden="1"/>
    <cellStyle name="Lien hypertexte visité" xfId="1196" builtinId="9" hidden="1"/>
    <cellStyle name="Lien hypertexte visité" xfId="1164" builtinId="9" hidden="1"/>
    <cellStyle name="Lien hypertexte visité" xfId="1132" builtinId="9" hidden="1"/>
    <cellStyle name="Lien hypertexte visité" xfId="1098" builtinId="9" hidden="1"/>
    <cellStyle name="Lien hypertexte visité" xfId="1068" builtinId="9" hidden="1"/>
    <cellStyle name="Lien hypertexte visité" xfId="1034" builtinId="9" hidden="1"/>
    <cellStyle name="Lien hypertexte visité" xfId="1002" builtinId="9" hidden="1"/>
    <cellStyle name="Lien hypertexte visité" xfId="970" builtinId="9" hidden="1"/>
    <cellStyle name="Lien hypertexte visité" xfId="938" builtinId="9" hidden="1"/>
    <cellStyle name="Lien hypertexte visité" xfId="904" builtinId="9" hidden="1"/>
    <cellStyle name="Lien hypertexte visité" xfId="873" builtinId="9" hidden="1"/>
    <cellStyle name="Lien hypertexte visité" xfId="839" builtinId="9" hidden="1"/>
    <cellStyle name="Lien hypertexte visité" xfId="1340" builtinId="9" hidden="1"/>
    <cellStyle name="Lien hypertexte visité" xfId="1448" builtinId="9" hidden="1"/>
    <cellStyle name="Lien hypertexte visité" xfId="1286" builtinId="9" hidden="1"/>
    <cellStyle name="Lien hypertexte visité" xfId="934" builtinId="9" hidden="1"/>
    <cellStyle name="Lien hypertexte visité" xfId="613" builtinId="9" hidden="1"/>
    <cellStyle name="Lien hypertexte visité" xfId="302" builtinId="9" hidden="1"/>
    <cellStyle name="Lien hypertexte visité" xfId="78" builtinId="9" hidden="1"/>
    <cellStyle name="Lien hypertexte visité" xfId="82" builtinId="9" hidden="1"/>
    <cellStyle name="Lien hypertexte visité" xfId="86" builtinId="9" hidden="1"/>
    <cellStyle name="Lien hypertexte visité" xfId="90" builtinId="9" hidden="1"/>
    <cellStyle name="Lien hypertexte visité" xfId="92" builtinId="9" hidden="1"/>
    <cellStyle name="Lien hypertexte visité" xfId="98" builtinId="9" hidden="1"/>
    <cellStyle name="Lien hypertexte visité" xfId="100" builtinId="9" hidden="1"/>
    <cellStyle name="Lien hypertexte visité" xfId="102" builtinId="9" hidden="1"/>
    <cellStyle name="Lien hypertexte visité" xfId="30" builtinId="9" hidden="1"/>
    <cellStyle name="Lien hypertexte visité" xfId="32" builtinId="9" hidden="1"/>
    <cellStyle name="Lien hypertexte visité" xfId="36" builtinId="9" hidden="1"/>
    <cellStyle name="Lien hypertexte visité" xfId="40" builtinId="9" hidden="1"/>
    <cellStyle name="Lien hypertexte visité" xfId="44" builtinId="9" hidden="1"/>
    <cellStyle name="Lien hypertexte visité" xfId="46" builtinId="9" hidden="1"/>
    <cellStyle name="Lien hypertexte visité" xfId="14" builtinId="9" hidden="1"/>
    <cellStyle name="Lien hypertexte visité" xfId="18" builtinId="9" hidden="1"/>
    <cellStyle name="Lien hypertexte visité" xfId="24" builtinId="9" hidden="1"/>
    <cellStyle name="Lien hypertexte visité" xfId="8" builtinId="9" hidden="1"/>
    <cellStyle name="Lien hypertexte visité" xfId="12" builtinId="9" hidden="1"/>
    <cellStyle name="Lien hypertexte visité" xfId="6" builtinId="9" hidden="1"/>
    <cellStyle name="Lien hypertexte visité" xfId="2" builtinId="9" hidden="1"/>
    <cellStyle name="Lien hypertexte visité" xfId="10" builtinId="9" hidden="1"/>
    <cellStyle name="Lien hypertexte visité" xfId="50" builtinId="9" hidden="1"/>
    <cellStyle name="Lien hypertexte visité" xfId="42" builtinId="9" hidden="1"/>
    <cellStyle name="Lien hypertexte visité" xfId="34" builtinId="9" hidden="1"/>
    <cellStyle name="Lien hypertexte visité" xfId="96" builtinId="9" hidden="1"/>
    <cellStyle name="Lien hypertexte visité" xfId="88" builtinId="9" hidden="1"/>
    <cellStyle name="Lien hypertexte visité" xfId="80" builtinId="9" hidden="1"/>
    <cellStyle name="Lien hypertexte visité" xfId="64" builtinId="9" hidden="1"/>
    <cellStyle name="Lien hypertexte visité" xfId="56" builtinId="9" hidden="1"/>
    <cellStyle name="Lien hypertexte visité" xfId="212" builtinId="9" hidden="1"/>
    <cellStyle name="Lien hypertexte visité" xfId="204" builtinId="9" hidden="1"/>
    <cellStyle name="Lien hypertexte visité" xfId="194" builtinId="9" hidden="1"/>
    <cellStyle name="Lien hypertexte visité" xfId="178" builtinId="9" hidden="1"/>
    <cellStyle name="Lien hypertexte visité" xfId="170" builtinId="9" hidden="1"/>
    <cellStyle name="Lien hypertexte visité" xfId="160" builtinId="9" hidden="1"/>
    <cellStyle name="Lien hypertexte visité" xfId="144" builtinId="9" hidden="1"/>
    <cellStyle name="Lien hypertexte visité" xfId="134" builtinId="9" hidden="1"/>
    <cellStyle name="Lien hypertexte visité" xfId="126" builtinId="9" hidden="1"/>
    <cellStyle name="Lien hypertexte visité" xfId="110" builtinId="9" hidden="1"/>
    <cellStyle name="Lien hypertexte visité" xfId="248" builtinId="9" hidden="1"/>
    <cellStyle name="Lien hypertexte visité" xfId="312" builtinId="9" hidden="1"/>
    <cellStyle name="Lien hypertexte visité" xfId="440" builtinId="9" hidden="1"/>
    <cellStyle name="Lien hypertexte visité" xfId="525" builtinId="9" hidden="1"/>
    <cellStyle name="Lien hypertexte visité" xfId="533" builtinId="9" hidden="1"/>
    <cellStyle name="Lien hypertexte visité" xfId="505" builtinId="9" hidden="1"/>
    <cellStyle name="Lien hypertexte visité" xfId="497" builtinId="9" hidden="1"/>
    <cellStyle name="Lien hypertexte visité" xfId="458" builtinId="9" hidden="1"/>
    <cellStyle name="Lien hypertexte visité" xfId="448" builtinId="9" hidden="1"/>
    <cellStyle name="Lien hypertexte visité" xfId="438" builtinId="9" hidden="1"/>
    <cellStyle name="Lien hypertexte visité" xfId="420" builtinId="9" hidden="1"/>
    <cellStyle name="Lien hypertexte visité" xfId="412" builtinId="9" hidden="1"/>
    <cellStyle name="Lien hypertexte visité" xfId="402" builtinId="9" hidden="1"/>
    <cellStyle name="Lien hypertexte visité" xfId="384" builtinId="9" hidden="1"/>
    <cellStyle name="Lien hypertexte visité" xfId="374" builtinId="9" hidden="1"/>
    <cellStyle name="Lien hypertexte visité" xfId="366" builtinId="9" hidden="1"/>
    <cellStyle name="Lien hypertexte visité" xfId="515" builtinId="9" hidden="1"/>
    <cellStyle name="Lien hypertexte visité" xfId="136" builtinId="9" hidden="1"/>
    <cellStyle name="Lien hypertexte visité" xfId="16" builtinId="9" hidden="1"/>
    <cellStyle name="Lien hypertexte visité" xfId="76" builtinId="9" hidden="1"/>
    <cellStyle name="Lien hypertexte visité" xfId="158" builtinId="9" hidden="1"/>
    <cellStyle name="Lien hypertexte visité" xfId="162" builtinId="9" hidden="1"/>
    <cellStyle name="Lien hypertexte visité" xfId="166" builtinId="9" hidden="1"/>
    <cellStyle name="Lien hypertexte visité" xfId="172" builtinId="9" hidden="1"/>
    <cellStyle name="Lien hypertexte visité" xfId="174" builtinId="9" hidden="1"/>
    <cellStyle name="Lien hypertexte visité" xfId="180" builtinId="9" hidden="1"/>
    <cellStyle name="Lien hypertexte visité" xfId="182" builtinId="9" hidden="1"/>
    <cellStyle name="Lien hypertexte visité" xfId="184" builtinId="9" hidden="1"/>
    <cellStyle name="Lien hypertexte visité" xfId="190" builtinId="9" hidden="1"/>
    <cellStyle name="Lien hypertexte visité" xfId="192" builtinId="9" hidden="1"/>
    <cellStyle name="Lien hypertexte visité" xfId="196" builtinId="9" hidden="1"/>
    <cellStyle name="Lien hypertexte visité" xfId="202" builtinId="9" hidden="1"/>
    <cellStyle name="Lien hypertexte visité" xfId="206" builtinId="9" hidden="1"/>
    <cellStyle name="Lien hypertexte visité" xfId="208" builtinId="9" hidden="1"/>
    <cellStyle name="Lien hypertexte visité" xfId="214" builtinId="9" hidden="1"/>
    <cellStyle name="Lien hypertexte visité" xfId="216" builtinId="9" hidden="1"/>
    <cellStyle name="Lien hypertexte visité" xfId="218" builtinId="9" hidden="1"/>
    <cellStyle name="Lien hypertexte visité" xfId="200" builtinId="9" hidden="1"/>
    <cellStyle name="Lien hypertexte visité" xfId="168" builtinId="9" hidden="1"/>
    <cellStyle name="Lien hypertexte visité" xfId="104" builtinId="9" hidden="1"/>
    <cellStyle name="Lien hypertexte visité" xfId="54" builtinId="9" hidden="1"/>
    <cellStyle name="Lien hypertexte visité" xfId="58" builtinId="9" hidden="1"/>
    <cellStyle name="Lien hypertexte visité" xfId="60" builtinId="9" hidden="1"/>
    <cellStyle name="Lien hypertexte visité" xfId="66" builtinId="9" hidden="1"/>
    <cellStyle name="Lien hypertexte visité" xfId="68" builtinId="9" hidden="1"/>
    <cellStyle name="Lien hypertexte visité" xfId="70" builtinId="9" hidden="1"/>
    <cellStyle name="Lien hypertexte visité" xfId="112" builtinId="9" hidden="1"/>
    <cellStyle name="Lien hypertexte visité" xfId="114" builtinId="9" hidden="1"/>
    <cellStyle name="Lien hypertexte visité" xfId="116" builtinId="9" hidden="1"/>
    <cellStyle name="Lien hypertexte visité" xfId="122" builtinId="9" hidden="1"/>
    <cellStyle name="Lien hypertexte visité" xfId="124" builtinId="9" hidden="1"/>
    <cellStyle name="Lien hypertexte visité" xfId="128" builtinId="9" hidden="1"/>
    <cellStyle name="Lien hypertexte visité" xfId="132" builtinId="9" hidden="1"/>
    <cellStyle name="Lien hypertexte visité" xfId="138" builtinId="9" hidden="1"/>
    <cellStyle name="Lien hypertexte visité" xfId="140" builtinId="9" hidden="1"/>
    <cellStyle name="Lien hypertexte visité" xfId="146" builtinId="9" hidden="1"/>
    <cellStyle name="Lien hypertexte visité" xfId="148" builtinId="9" hidden="1"/>
    <cellStyle name="Lien hypertexte visité" xfId="150" builtinId="9" hidden="1"/>
    <cellStyle name="Lien hypertexte visité" xfId="156" builtinId="9" hidden="1"/>
    <cellStyle name="Lien hypertexte visité" xfId="344" builtinId="9" hidden="1"/>
    <cellStyle name="Lien hypertexte visité" xfId="328" builtinId="9" hidden="1"/>
    <cellStyle name="Lien hypertexte visité" xfId="296" builtinId="9" hidden="1"/>
    <cellStyle name="Lien hypertexte visité" xfId="264" builtinId="9" hidden="1"/>
    <cellStyle name="Lien hypertexte visité" xfId="232" builtinId="9" hidden="1"/>
    <cellStyle name="Lien hypertexte visité" xfId="106" builtinId="9" hidden="1"/>
    <cellStyle name="Lien hypertexte visité" xfId="424" builtinId="9" hidden="1"/>
    <cellStyle name="Lien hypertexte visité" xfId="408" builtinId="9" hidden="1"/>
    <cellStyle name="Lien hypertexte visité" xfId="392" builtinId="9" hidden="1"/>
    <cellStyle name="Lien hypertexte visité" xfId="509" builtinId="9" hidden="1"/>
    <cellStyle name="Lien hypertexte visité" xfId="493" builtinId="9" hidden="1"/>
    <cellStyle name="Lien hypertexte visité" xfId="539" builtinId="9" hidden="1"/>
    <cellStyle name="Monétaire" xfId="882" builtinId="4"/>
    <cellStyle name="Normal" xfId="0" builtinId="0"/>
    <cellStyle name="vacances_planning" xfId="472" xr:uid="{00000000-0005-0000-0000-0000CF050000}"/>
    <cellStyle name="vacances1" xfId="473" xr:uid="{00000000-0005-0000-0000-0000D0050000}"/>
    <cellStyle name="vacances1 2" xfId="474" xr:uid="{00000000-0005-0000-0000-0000D1050000}"/>
    <cellStyle name="vacances2" xfId="475" xr:uid="{00000000-0005-0000-0000-0000D2050000}"/>
    <cellStyle name="vacances2 2" xfId="476" xr:uid="{00000000-0005-0000-0000-0000D3050000}"/>
    <cellStyle name="vacances2 3" xfId="477" xr:uid="{00000000-0005-0000-0000-0000D4050000}"/>
    <cellStyle name="vacances3" xfId="478" xr:uid="{00000000-0005-0000-0000-0000D5050000}"/>
    <cellStyle name="vacances3 2" xfId="479" xr:uid="{00000000-0005-0000-0000-0000D6050000}"/>
  </cellStyles>
  <dxfs count="4735">
    <dxf>
      <font>
        <color auto="1"/>
      </font>
      <fill>
        <patternFill patternType="solid">
          <fgColor indexed="64"/>
          <bgColor theme="0" tint="-4.9989318521683403E-2"/>
        </patternFill>
      </fill>
    </dxf>
    <dxf>
      <font>
        <color auto="1"/>
      </font>
      <fill>
        <patternFill>
          <bgColor rgb="FFFFC7CE"/>
        </patternFill>
      </fill>
    </dxf>
    <dxf>
      <font>
        <color auto="1"/>
      </font>
      <fill>
        <patternFill patternType="solid">
          <fgColor indexed="64"/>
          <bgColor theme="4" tint="0.79998168889431442"/>
        </patternFill>
      </fill>
    </dxf>
    <dxf>
      <font>
        <color auto="1"/>
      </font>
      <fill>
        <patternFill>
          <bgColor rgb="FFFFC7CE"/>
        </patternFill>
      </fill>
    </dxf>
    <dxf>
      <font>
        <color auto="1"/>
      </font>
      <fill>
        <patternFill patternType="solid">
          <fgColor indexed="64"/>
          <bgColor theme="4" tint="0.7999816888943144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auto="1"/>
      </font>
      <fill>
        <patternFill patternType="solid">
          <fgColor indexed="64"/>
          <bgColor theme="4" tint="0.79998168889431442"/>
        </patternFill>
      </fill>
    </dxf>
    <dxf>
      <font>
        <color auto="1"/>
      </font>
      <fill>
        <patternFill patternType="solid">
          <fgColor indexed="64"/>
          <bgColor theme="2" tint="-9.9978637043366805E-2"/>
        </patternFill>
      </fill>
    </dxf>
    <dxf>
      <font>
        <color theme="4" tint="-0.249977111117893"/>
      </font>
      <fill>
        <patternFill patternType="solid">
          <fgColor indexed="64"/>
          <bgColor theme="0"/>
        </patternFill>
      </fill>
      <border>
        <left style="thin">
          <color theme="4" tint="-0.249977111117893"/>
        </left>
        <right style="thin">
          <color theme="4" tint="-0.249977111117893"/>
        </right>
        <top style="thin">
          <color theme="4" tint="-0.249977111117893"/>
        </top>
        <bottom style="thin">
          <color theme="4" tint="-0.249977111117893"/>
        </bottom>
      </border>
    </dxf>
    <dxf>
      <font>
        <b/>
        <i val="0"/>
        <color theme="4" tint="-0.249977111117893"/>
      </font>
      <fill>
        <patternFill patternType="solid">
          <fgColor indexed="64"/>
          <bgColor theme="3" tint="0.79998168889431442"/>
        </patternFill>
      </fill>
      <border>
        <left style="thin">
          <color theme="4" tint="-0.249977111117893"/>
        </left>
        <right style="thin">
          <color theme="4" tint="-0.249977111117893"/>
        </right>
        <top style="thin">
          <color theme="4" tint="-0.249977111117893"/>
        </top>
        <bottom style="thin">
          <color theme="4" tint="-0.249977111117893"/>
        </bottom>
      </border>
    </dxf>
    <dxf>
      <font>
        <b/>
        <i val="0"/>
        <color theme="4" tint="-0.249977111117893"/>
      </font>
      <fill>
        <patternFill patternType="solid">
          <fgColor indexed="64"/>
          <bgColor theme="3" tint="0.79998168889431442"/>
        </patternFill>
      </fill>
      <border>
        <left style="thin">
          <color theme="4" tint="-0.249977111117893"/>
        </left>
        <right style="thin">
          <color theme="4" tint="-0.249977111117893"/>
        </right>
        <top style="thin">
          <color theme="4" tint="-0.249977111117893"/>
        </top>
        <bottom style="thin">
          <color theme="4" tint="-0.249977111117893"/>
        </bottom>
      </border>
    </dxf>
    <dxf>
      <font>
        <b/>
        <i val="0"/>
        <color theme="4" tint="-0.249977111117893"/>
      </font>
      <fill>
        <patternFill patternType="solid">
          <fgColor indexed="64"/>
          <bgColor theme="0"/>
        </patternFill>
      </fill>
      <border>
        <left style="thin">
          <color theme="4" tint="-0.249977111117893"/>
        </left>
        <right style="thin">
          <color theme="4" tint="-0.249977111117893"/>
        </right>
        <top style="thin">
          <color theme="4" tint="-0.249977111117893"/>
        </top>
        <bottom style="thin">
          <color theme="4" tint="-0.249977111117893"/>
        </bottom>
      </border>
    </dxf>
    <dxf>
      <font>
        <color theme="4" tint="-0.249977111117893"/>
      </font>
      <fill>
        <patternFill patternType="solid">
          <fgColor indexed="64"/>
          <bgColor theme="8" tint="0.79998168889431442"/>
        </patternFill>
      </fill>
      <border>
        <left style="thin">
          <color theme="4" tint="-0.249977111117893"/>
        </left>
        <right style="thin">
          <color theme="4" tint="-0.249977111117893"/>
        </right>
        <top style="thin">
          <color theme="4" tint="-0.249977111117893"/>
        </top>
        <bottom style="thin">
          <color theme="4" tint="-0.249977111117893"/>
        </bottom>
      </border>
    </dxf>
    <dxf>
      <font>
        <b/>
        <i val="0"/>
        <color theme="4" tint="-0.249977111117893"/>
      </font>
      <fill>
        <patternFill patternType="solid">
          <fgColor indexed="64"/>
          <bgColor theme="8" tint="0.79998168889431442"/>
        </patternFill>
      </fill>
      <border>
        <right style="thin">
          <color theme="4" tint="-0.249977111117893"/>
        </right>
        <top style="thin">
          <color theme="4" tint="-0.249977111117893"/>
        </top>
        <bottom style="thin">
          <color theme="4" tint="-0.249977111117893"/>
        </bottom>
      </border>
    </dxf>
    <dxf>
      <font>
        <b/>
        <i val="0"/>
        <color theme="4" tint="-0.249977111117893"/>
      </font>
      <fill>
        <patternFill patternType="solid">
          <fgColor indexed="64"/>
          <bgColor theme="8" tint="0.79998168889431442"/>
        </patternFill>
      </fill>
      <border>
        <top style="thin">
          <color theme="4" tint="-0.249977111117893"/>
        </top>
        <bottom style="thin">
          <color theme="4" tint="-0.249977111117893"/>
        </bottom>
      </border>
    </dxf>
    <dxf>
      <font>
        <color theme="4" tint="-0.249977111117893"/>
      </font>
      <fill>
        <patternFill patternType="solid">
          <fgColor indexed="64"/>
          <bgColor theme="4" tint="-0.249977111117893"/>
        </patternFill>
      </fill>
      <border>
        <left style="thin">
          <color theme="3" tint="0.79998168889431442"/>
        </left>
        <right style="thin">
          <color theme="3" tint="0.79998168889431442"/>
        </right>
        <top style="thin">
          <color theme="3" tint="0.79998168889431442"/>
        </top>
        <bottom style="thin">
          <color theme="3" tint="0.79998168889431442"/>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8"/>
      </font>
      <fill>
        <patternFill patternType="solid">
          <fgColor indexed="64"/>
          <bgColor theme="8"/>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9"/>
      </font>
      <fill>
        <patternFill patternType="solid">
          <fgColor indexed="64"/>
          <bgColor theme="9"/>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bottom style="thin">
          <color theme="4" tint="-0.249977111117893"/>
        </bottom>
      </border>
    </dxf>
    <dxf>
      <font>
        <color theme="4" tint="-0.249977111117893"/>
      </font>
      <fill>
        <patternFill patternType="solid">
          <fgColor indexed="64"/>
          <bgColor theme="3" tint="0.79998168889431442"/>
        </patternFill>
      </fill>
      <border>
        <bottom style="thin">
          <color theme="4" tint="-0.249977111117893"/>
        </bottom>
      </border>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6"/>
      </font>
      <fill>
        <patternFill patternType="solid">
          <fgColor indexed="64"/>
          <bgColor theme="6"/>
        </patternFill>
      </fill>
      <border>
        <left/>
        <right style="thin">
          <color theme="4" tint="-0.249977111117893"/>
        </right>
        <top/>
        <bottom style="thin">
          <color theme="4" tint="-0.249977111117893"/>
        </bottom>
      </border>
    </dxf>
    <dxf>
      <font>
        <color theme="3"/>
      </font>
      <fill>
        <patternFill patternType="solid">
          <fgColor indexed="64"/>
          <bgColor theme="8" tint="0.79998168889431442"/>
        </patternFill>
      </fill>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theme="3"/>
      </font>
      <fill>
        <patternFill patternType="solid">
          <fgColor indexed="64"/>
          <bgColor theme="8" tint="0.79998168889431442"/>
        </patternFill>
      </fill>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color theme="3"/>
      </font>
      <fill>
        <patternFill patternType="solid">
          <fgColor indexed="64"/>
          <bgColor theme="8" tint="0.79998168889431442"/>
        </patternFill>
      </fill>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border>
    </dxf>
    <dxf>
      <font>
        <color theme="4" tint="-0.249977111117893"/>
      </font>
      <fill>
        <patternFill patternType="solid">
          <fgColor indexed="64"/>
          <bgColor theme="3" tint="0.79998168889431442"/>
        </patternFill>
      </fill>
      <border>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ttom style="thin">
          <color theme="4" tint="-0.249977111117893"/>
        </bottom>
      </border>
    </dxf>
    <dxf>
      <font>
        <color theme="4" tint="-0.249977111117893"/>
      </font>
      <fill>
        <patternFill patternType="solid">
          <fgColor indexed="64"/>
          <bgColor theme="0"/>
        </patternFill>
      </fill>
      <border>
        <right style="thin">
          <color theme="4" tint="-0.249977111117893"/>
        </right>
        <top style="hair">
          <color theme="4" tint="-0.249977111117893"/>
        </top>
      </border>
    </dxf>
    <dxf>
      <font>
        <color theme="4" tint="-0.249977111117893"/>
      </font>
      <fill>
        <patternFill patternType="solid">
          <fgColor indexed="64"/>
          <bgColor theme="3" tint="0.79998168889431442"/>
        </patternFill>
      </fill>
      <border>
        <right style="thin">
          <color theme="4" tint="-0.249977111117893"/>
        </right>
        <top style="hair">
          <color theme="4" tint="-0.249977111117893"/>
        </top>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color theme="4" tint="-0.249977111117893"/>
      </font>
      <fill>
        <patternFill patternType="solid">
          <fgColor indexed="64"/>
          <bgColor theme="0"/>
        </patternFill>
      </fill>
      <border>
        <right style="thin">
          <color theme="4" tint="-0.249977111117893"/>
        </right>
      </border>
    </dxf>
    <dxf>
      <font>
        <color theme="4" tint="-0.249977111117893"/>
      </font>
      <fill>
        <patternFill patternType="solid">
          <fgColor indexed="64"/>
          <bgColor theme="3" tint="0.79998168889431442"/>
        </patternFill>
      </fill>
      <border>
        <right style="thin">
          <color theme="4" tint="-0.249977111117893"/>
        </right>
      </border>
    </dxf>
    <dxf>
      <font>
        <b val="0"/>
        <i val="0"/>
        <color theme="4" tint="-0.249977111117893"/>
      </font>
      <fill>
        <patternFill patternType="solid">
          <fgColor indexed="64"/>
          <bgColor theme="0"/>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0"/>
        </patternFill>
      </fill>
      <border>
        <right style="thin">
          <color theme="4" tint="-0.249977111117893"/>
        </right>
        <bottom style="thin">
          <color theme="4" tint="-0.249977111117893"/>
        </bottom>
      </border>
    </dxf>
    <dxf>
      <fill>
        <patternFill patternType="solid">
          <fgColor indexed="27"/>
          <bgColor theme="4" tint="0.79998168889431442"/>
        </patternFill>
      </fill>
    </dxf>
    <dxf>
      <fill>
        <patternFill patternType="solid">
          <fgColor indexed="27"/>
          <bgColor theme="4"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ill>
        <patternFill patternType="solid">
          <fgColor indexed="27"/>
          <bgColor theme="4" tint="0.79998168889431442"/>
        </patternFill>
      </fill>
    </dxf>
    <dxf>
      <fill>
        <patternFill patternType="solid">
          <fgColor indexed="27"/>
          <bgColor theme="4" tint="0.79998168889431442"/>
        </patternFill>
      </fill>
    </dxf>
    <dxf>
      <fill>
        <patternFill patternType="solid">
          <fgColor indexed="27"/>
          <bgColor indexed="42"/>
        </patternFill>
      </fill>
    </dxf>
    <dxf>
      <fill>
        <patternFill patternType="solid">
          <fgColor indexed="27"/>
          <bgColor theme="4" tint="0.79998168889431442"/>
        </patternFill>
      </fill>
    </dxf>
    <dxf>
      <fill>
        <patternFill patternType="solid">
          <fgColor indexed="27"/>
          <bgColor theme="4" tint="0.79998168889431442"/>
        </patternFill>
      </fill>
    </dxf>
    <dxf>
      <fill>
        <patternFill patternType="solid">
          <fgColor indexed="27"/>
          <bgColor theme="4"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theme="4" tint="-0.249977111117893"/>
      </font>
      <fill>
        <patternFill patternType="none">
          <fgColor indexed="64"/>
          <bgColor auto="1"/>
        </patternFill>
      </fill>
      <border>
        <bottom style="thin">
          <color auto="1"/>
        </bottom>
      </border>
    </dxf>
    <dxf>
      <font>
        <strike val="0"/>
        <color theme="4" tint="-0.249977111117893"/>
      </font>
      <fill>
        <patternFill patternType="solid">
          <fgColor indexed="64"/>
          <bgColor theme="3" tint="0.79998168889431442"/>
        </patternFill>
      </fill>
      <border>
        <bottom style="thin">
          <color auto="1"/>
        </bottom>
      </border>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left/>
        <right/>
        <bottom style="thin">
          <color auto="1"/>
        </bottom>
      </border>
    </dxf>
    <dxf>
      <font>
        <b val="0"/>
        <i/>
        <strike val="0"/>
        <color theme="1" tint="0.34998626667073579"/>
      </font>
      <fill>
        <patternFill patternType="solid">
          <fgColor indexed="64"/>
          <bgColor theme="3" tint="0.79998168889431442"/>
        </patternFill>
      </fill>
      <border>
        <right/>
        <bottom style="thin">
          <color auto="1"/>
        </bottom>
      </border>
    </dxf>
    <dxf>
      <font>
        <b val="0"/>
        <i/>
        <strike val="0"/>
        <color theme="4" tint="-0.249977111117893"/>
      </font>
      <fill>
        <patternFill patternType="none">
          <fgColor indexed="64"/>
          <bgColor auto="1"/>
        </patternFill>
      </fill>
      <border>
        <left/>
        <right/>
        <bottom style="thin">
          <color auto="1"/>
        </bottom>
      </border>
    </dxf>
    <dxf>
      <font>
        <b val="0"/>
        <i/>
        <strike val="0"/>
        <color theme="4" tint="-0.249977111117893"/>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strike val="0"/>
        <color auto="1"/>
      </font>
      <fill>
        <patternFill patternType="none">
          <fgColor indexed="64"/>
          <bgColor auto="1"/>
        </patternFill>
      </fill>
      <border>
        <bottom style="thin">
          <color auto="1"/>
        </bottom>
      </border>
    </dxf>
    <dxf>
      <font>
        <strike val="0"/>
        <color auto="1"/>
      </font>
      <fill>
        <patternFill patternType="solid">
          <fgColor indexed="64"/>
          <bgColor theme="3" tint="0.79998168889431442"/>
        </patternFill>
      </fill>
      <border>
        <bottom style="thin">
          <color auto="1"/>
        </bottom>
      </border>
    </dxf>
    <dxf>
      <font>
        <b val="0"/>
        <i/>
        <strike val="0"/>
        <color theme="1" tint="0.34998626667073579"/>
      </font>
      <fill>
        <patternFill patternType="none">
          <fgColor indexed="64"/>
          <bgColor auto="1"/>
        </patternFill>
      </fill>
      <border>
        <bottom style="thin">
          <color auto="1"/>
        </bottom>
      </border>
    </dxf>
    <dxf>
      <font>
        <b val="0"/>
        <i/>
        <strike val="0"/>
        <color theme="1" tint="0.34998626667073579"/>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left/>
        <bottom style="thin">
          <color auto="1"/>
        </bottom>
      </border>
    </dxf>
    <dxf>
      <font>
        <strike val="0"/>
        <u/>
        <color theme="4" tint="-0.249977111117893"/>
      </font>
      <fill>
        <patternFill patternType="solid">
          <fgColor indexed="64"/>
          <bgColor theme="3" tint="0.79998168889431442"/>
        </patternFill>
      </fill>
      <border>
        <left/>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bottom style="thin">
          <color auto="1"/>
        </bottom>
      </border>
    </dxf>
    <dxf>
      <font>
        <color theme="2" tint="-0.749992370372631"/>
      </font>
      <fill>
        <patternFill patternType="solid">
          <fgColor indexed="64"/>
          <bgColor theme="3" tint="0.79998168889431442"/>
        </patternFill>
      </fill>
      <border>
        <bottom style="thin">
          <color auto="1"/>
        </bottom>
      </border>
    </dxf>
    <dxf>
      <font>
        <color theme="4" tint="-0.249977111117893"/>
      </font>
      <fill>
        <patternFill patternType="none">
          <fgColor indexed="64"/>
          <bgColor auto="1"/>
        </patternFill>
      </fill>
      <border>
        <bottom style="thin">
          <color auto="1"/>
        </bottom>
      </border>
    </dxf>
    <dxf>
      <font>
        <color theme="4" tint="-0.249977111117893"/>
      </font>
      <fill>
        <patternFill patternType="solid">
          <fgColor indexed="64"/>
          <bgColor theme="3" tint="0.79998168889431442"/>
        </patternFill>
      </fill>
      <border>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color auto="1"/>
      </font>
      <fill>
        <patternFill patternType="none">
          <fgColor indexed="64"/>
          <bgColor auto="1"/>
        </patternFill>
      </fill>
      <border>
        <left style="thin">
          <color auto="1"/>
        </left>
        <bottom style="thin">
          <color auto="1"/>
        </bottom>
      </border>
    </dxf>
    <dxf>
      <font>
        <strike val="0"/>
        <u/>
        <color auto="1"/>
      </font>
      <fill>
        <patternFill patternType="solid">
          <fgColor indexed="64"/>
          <bgColor theme="3" tint="0.79998168889431442"/>
        </patternFill>
      </fill>
      <border>
        <left style="thin">
          <color auto="1"/>
        </left>
        <bottom style="thin">
          <color auto="1"/>
        </bottom>
      </border>
    </dxf>
    <dxf>
      <font>
        <b val="0"/>
        <i/>
        <color theme="1" tint="0.34998626667073579"/>
      </font>
      <fill>
        <patternFill patternType="none">
          <fgColor indexed="64"/>
          <bgColor auto="1"/>
        </patternFill>
      </fill>
      <border>
        <right style="thin">
          <color auto="1"/>
        </right>
        <bottom style="thin">
          <color auto="1"/>
        </bottom>
      </border>
    </dxf>
    <dxf>
      <font>
        <b val="0"/>
        <i/>
        <color theme="1" tint="0.34998626667073579"/>
      </font>
      <fill>
        <patternFill patternType="solid">
          <fgColor indexed="64"/>
          <bgColor theme="3" tint="0.79998168889431442"/>
        </patternFill>
      </fill>
      <border>
        <right style="thin">
          <color auto="1"/>
        </right>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b val="0"/>
        <i/>
        <strike val="0"/>
        <color auto="1"/>
      </font>
      <fill>
        <patternFill patternType="none">
          <fgColor indexed="64"/>
          <bgColor auto="1"/>
        </patternFill>
      </fill>
      <border>
        <left/>
        <right/>
        <bottom style="thin">
          <color auto="1"/>
        </bottom>
      </border>
    </dxf>
    <dxf>
      <font>
        <b val="0"/>
        <i/>
        <strike val="0"/>
        <color auto="1"/>
      </font>
      <fill>
        <patternFill patternType="solid">
          <fgColor indexed="64"/>
          <bgColor theme="3" tint="0.79998168889431442"/>
        </patternFill>
      </fill>
      <border>
        <right/>
        <bottom style="thin">
          <color auto="1"/>
        </bottom>
      </border>
    </dxf>
    <dxf>
      <font>
        <color auto="1"/>
      </font>
      <fill>
        <patternFill patternType="none">
          <fgColor indexed="64"/>
          <bgColor auto="1"/>
        </patternFill>
      </fill>
      <border>
        <left style="thin">
          <color auto="1"/>
        </left>
        <bottom style="thin">
          <color auto="1"/>
        </bottom>
      </border>
    </dxf>
    <dxf>
      <font>
        <strike val="0"/>
        <color auto="1"/>
      </font>
      <fill>
        <patternFill patternType="solid">
          <fgColor indexed="64"/>
          <bgColor theme="3" tint="0.79998168889431442"/>
        </patternFill>
      </fill>
      <border>
        <left style="thin">
          <color auto="1"/>
        </left>
        <bottom style="thin">
          <color auto="1"/>
        </bottom>
      </border>
    </dxf>
    <dxf>
      <font>
        <b val="0"/>
        <i/>
        <color auto="1"/>
      </font>
      <fill>
        <patternFill patternType="none">
          <fgColor indexed="64"/>
          <bgColor auto="1"/>
        </patternFill>
      </fill>
      <border>
        <right style="thin">
          <color auto="1"/>
        </right>
        <bottom style="thin">
          <color auto="1"/>
        </bottom>
      </border>
    </dxf>
    <dxf>
      <font>
        <b val="0"/>
        <i/>
        <color auto="1"/>
      </font>
      <fill>
        <patternFill patternType="solid">
          <fgColor indexed="64"/>
          <bgColor theme="3" tint="0.79998168889431442"/>
        </patternFill>
      </fill>
      <border>
        <right style="thin">
          <color auto="1"/>
        </right>
        <bottom style="thin">
          <color auto="1"/>
        </bottom>
      </border>
    </dxf>
    <dxf>
      <font>
        <color theme="4" tint="-0.249977111117893"/>
      </font>
      <fill>
        <patternFill patternType="solid">
          <fgColor indexed="64"/>
          <bgColor theme="3" tint="0.79998168889431442"/>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3" tint="0.79998168889431442"/>
        </patternFill>
      </fill>
    </dxf>
    <dxf>
      <font>
        <color theme="4" tint="-0.249977111117893"/>
      </font>
      <fill>
        <patternFill patternType="solid">
          <fgColor indexed="64"/>
          <bgColor theme="3" tint="0.79998168889431442"/>
        </patternFill>
      </fill>
    </dxf>
    <dxf>
      <font>
        <b/>
        <i val="0"/>
        <color theme="0"/>
      </font>
      <fill>
        <patternFill patternType="solid">
          <fgColor indexed="64"/>
          <bgColor theme="3" tint="0.79998168889431442"/>
        </patternFill>
      </fill>
    </dxf>
    <dxf>
      <font>
        <b/>
        <i val="0"/>
        <color theme="0"/>
      </font>
    </dxf>
    <dxf>
      <font>
        <color theme="4" tint="-0.249977111117893"/>
      </font>
      <fill>
        <patternFill patternType="solid">
          <fgColor indexed="64"/>
          <bgColor theme="3" tint="0.79998168889431442"/>
        </patternFill>
      </fill>
    </dxf>
    <dxf>
      <font>
        <b/>
        <i val="0"/>
        <color theme="0"/>
      </font>
      <fill>
        <patternFill patternType="solid">
          <fgColor indexed="64"/>
          <bgColor theme="3" tint="0.79998168889431442"/>
        </patternFill>
      </fill>
    </dxf>
    <dxf>
      <font>
        <b/>
        <i val="0"/>
        <color theme="0"/>
      </font>
    </dxf>
    <dxf>
      <font>
        <color theme="4" tint="-0.249977111117893"/>
      </font>
      <fill>
        <patternFill patternType="solid">
          <fgColor indexed="64"/>
          <bgColor theme="3" tint="0.79998168889431442"/>
        </patternFill>
      </fill>
    </dxf>
    <dxf>
      <font>
        <b/>
        <i val="0"/>
        <color theme="0"/>
      </font>
      <fill>
        <patternFill patternType="solid">
          <fgColor indexed="64"/>
          <bgColor theme="3" tint="0.79998168889431442"/>
        </patternFill>
      </fill>
    </dxf>
    <dxf>
      <font>
        <b/>
        <i val="0"/>
        <color theme="0"/>
      </font>
    </dxf>
    <dxf>
      <font>
        <color theme="4" tint="-0.249977111117893"/>
      </font>
      <fill>
        <patternFill patternType="solid">
          <fgColor indexed="64"/>
          <bgColor theme="3" tint="0.79998168889431442"/>
        </patternFill>
      </fill>
    </dxf>
    <dxf>
      <font>
        <color theme="3" tint="0.79998168889431442"/>
      </font>
      <fill>
        <patternFill patternType="solid">
          <fgColor indexed="64"/>
          <bgColor theme="4" tint="-0.249977111117893"/>
        </patternFill>
      </fill>
    </dxf>
    <dxf>
      <font>
        <color theme="3" tint="0.79998168889431442"/>
      </font>
      <fill>
        <patternFill patternType="solid">
          <fgColor indexed="64"/>
          <bgColor theme="4" tint="-0.249977111117893"/>
        </patternFill>
      </fill>
    </dxf>
    <dxf>
      <font>
        <color theme="3" tint="0.79998168889431442"/>
      </font>
      <fill>
        <patternFill patternType="solid">
          <fgColor indexed="64"/>
          <bgColor theme="4" tint="-0.249977111117893"/>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color theme="3"/>
      </font>
      <fill>
        <patternFill patternType="solid">
          <fgColor indexed="64"/>
          <bgColor theme="8" tint="0.79998168889431442"/>
        </patternFill>
      </fill>
    </dxf>
    <dxf>
      <font>
        <b/>
        <i val="0"/>
        <color theme="0"/>
      </font>
      <fill>
        <patternFill patternType="solid">
          <fgColor indexed="64"/>
          <bgColor theme="3" tint="0.79998168889431442"/>
        </patternFill>
      </fill>
    </dxf>
    <dxf>
      <font>
        <b/>
        <i val="0"/>
        <color theme="0"/>
      </font>
    </dxf>
    <dxf>
      <font>
        <color theme="3"/>
      </font>
      <fill>
        <patternFill patternType="solid">
          <fgColor indexed="64"/>
          <bgColor theme="8" tint="0.79998168889431442"/>
        </patternFill>
      </fill>
    </dxf>
    <dxf>
      <font>
        <color theme="4" tint="-0.249977111117893"/>
      </font>
      <fill>
        <patternFill patternType="solid">
          <fgColor indexed="64"/>
          <bgColor theme="3" tint="0.79998168889431442"/>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patternType="solid">
          <fgColor indexed="64"/>
          <bgColor rgb="FFCCFFCC"/>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Spin" dx="16" fmlaLink="$G$11" max="2030" min="2000" page="10" val="2021"/>
</file>

<file path=xl/ctrlProps/ctrlProp2.xml><?xml version="1.0" encoding="utf-8"?>
<formControlPr xmlns="http://schemas.microsoft.com/office/spreadsheetml/2009/9/main" objectType="Spin" dx="16" fmlaLink="$G$12" max="12" min="1" page="10"/>
</file>

<file path=xl/ctrlProps/ctrlProp3.xml><?xml version="1.0" encoding="utf-8"?>
<formControlPr xmlns="http://schemas.microsoft.com/office/spreadsheetml/2009/9/main" objectType="CheckBox" checked="Checked" fmlaLink="Calculs!$P$3" lockText="1" noThreeD="1"/>
</file>

<file path=xl/ctrlProps/ctrlProp4.xml><?xml version="1.0" encoding="utf-8"?>
<formControlPr xmlns="http://schemas.microsoft.com/office/spreadsheetml/2009/9/main" objectType="Drop" dropLines="49" dropStyle="combo" dx="16" fmlaLink="$F$6" fmlaRange="Soleil!$AB$11:$AB$54" sel="26" val="11"/>
</file>

<file path=xl/ctrlProps/ctrlProp5.xml><?xml version="1.0" encoding="utf-8"?>
<formControlPr xmlns="http://schemas.microsoft.com/office/spreadsheetml/2009/9/main" objectType="Radio" checked="Checked" firstButton="1" fmlaLink="E7"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Spin" dx="0" fmlaLink="$J$3" max="12" min="1" page="0" val="12"/>
</file>

<file path=xl/ctrlProps/ctrlProp9.xml><?xml version="1.0" encoding="utf-8"?>
<formControlPr xmlns="http://schemas.microsoft.com/office/spreadsheetml/2009/9/main" objectType="Spin" dx="16" fmlaLink="$B$2" max="11" page="10" val="0"/>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279400</xdr:colOff>
      <xdr:row>7</xdr:row>
      <xdr:rowOff>139700</xdr:rowOff>
    </xdr:from>
    <xdr:to>
      <xdr:col>8</xdr:col>
      <xdr:colOff>787400</xdr:colOff>
      <xdr:row>57</xdr:row>
      <xdr:rowOff>165100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79400" y="2006600"/>
          <a:ext cx="9474200" cy="707390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fr-FR" sz="1600" b="1">
              <a:solidFill>
                <a:schemeClr val="tx1">
                  <a:lumMod val="50000"/>
                  <a:lumOff val="50000"/>
                </a:schemeClr>
              </a:solidFill>
              <a:latin typeface="Verdana"/>
              <a:cs typeface="Verdana"/>
            </a:rPr>
            <a:t>À LIRE AVANT</a:t>
          </a:r>
          <a:r>
            <a:rPr lang="fr-FR" sz="1600" b="1" baseline="0">
              <a:solidFill>
                <a:schemeClr val="tx1">
                  <a:lumMod val="50000"/>
                  <a:lumOff val="50000"/>
                </a:schemeClr>
              </a:solidFill>
              <a:latin typeface="Verdana"/>
              <a:cs typeface="Verdana"/>
            </a:rPr>
            <a:t> UTILISATION</a:t>
          </a:r>
          <a:endParaRPr lang="fr-FR" sz="1600" b="1">
            <a:solidFill>
              <a:schemeClr val="tx1">
                <a:lumMod val="50000"/>
                <a:lumOff val="50000"/>
              </a:schemeClr>
            </a:solidFill>
            <a:latin typeface="Verdana"/>
            <a:cs typeface="Verdana"/>
          </a:endParaRPr>
        </a:p>
        <a:p>
          <a:endParaRPr lang="fr-FR" sz="1200">
            <a:solidFill>
              <a:schemeClr val="tx1">
                <a:lumMod val="50000"/>
                <a:lumOff val="50000"/>
              </a:schemeClr>
            </a:solidFill>
            <a:latin typeface="Verdana"/>
            <a:cs typeface="Verdana"/>
          </a:endParaRPr>
        </a:p>
        <a:p>
          <a:pPr algn="just"/>
          <a:r>
            <a:rPr lang="fr-FR" sz="1200">
              <a:solidFill>
                <a:schemeClr val="tx1">
                  <a:lumMod val="50000"/>
                  <a:lumOff val="50000"/>
                </a:schemeClr>
              </a:solidFill>
              <a:latin typeface="Verdana"/>
              <a:cs typeface="Verdana"/>
            </a:rPr>
            <a:t>Il s'agit</a:t>
          </a:r>
          <a:r>
            <a:rPr lang="fr-FR" sz="1200" baseline="0">
              <a:solidFill>
                <a:schemeClr val="tx1">
                  <a:lumMod val="50000"/>
                  <a:lumOff val="50000"/>
                </a:schemeClr>
              </a:solidFill>
              <a:latin typeface="Verdana"/>
              <a:cs typeface="Verdana"/>
            </a:rPr>
            <a:t> de proposer un calendrier perpétuel dans un classeur Excel exportable au format PDF.</a:t>
          </a:r>
        </a:p>
        <a:p>
          <a:pPr algn="just"/>
          <a:r>
            <a:rPr lang="fr-FR" sz="1200" baseline="0">
              <a:solidFill>
                <a:schemeClr val="tx1">
                  <a:lumMod val="50000"/>
                  <a:lumOff val="50000"/>
                </a:schemeClr>
              </a:solidFill>
              <a:latin typeface="Verdana"/>
              <a:cs typeface="Verdana"/>
            </a:rPr>
            <a:t>Ce classeur </a:t>
          </a:r>
          <a:r>
            <a:rPr lang="fr-FR" sz="1200" b="1" baseline="0">
              <a:solidFill>
                <a:schemeClr val="tx1">
                  <a:lumMod val="50000"/>
                  <a:lumOff val="50000"/>
                </a:schemeClr>
              </a:solidFill>
              <a:latin typeface="Verdana"/>
              <a:cs typeface="Verdana"/>
            </a:rPr>
            <a:t>comprend 9 onglets:</a:t>
          </a:r>
          <a:endParaRPr lang="fr-FR" sz="1200" baseline="0">
            <a:solidFill>
              <a:schemeClr val="tx1">
                <a:lumMod val="50000"/>
                <a:lumOff val="50000"/>
              </a:schemeClr>
            </a:solidFill>
            <a:latin typeface="Verdana"/>
            <a:cs typeface="Verdana"/>
          </a:endParaRPr>
        </a:p>
        <a:p>
          <a:pPr algn="just"/>
          <a:r>
            <a:rPr lang="fr-FR" sz="1200" b="1" baseline="0">
              <a:solidFill>
                <a:schemeClr val="tx1">
                  <a:lumMod val="50000"/>
                  <a:lumOff val="50000"/>
                </a:schemeClr>
              </a:solidFill>
              <a:latin typeface="Verdana"/>
              <a:cs typeface="Verdana"/>
            </a:rPr>
            <a:t>L'onglet "Introduction" </a:t>
          </a:r>
          <a:r>
            <a:rPr lang="fr-FR" sz="1200" b="0" baseline="0">
              <a:solidFill>
                <a:schemeClr val="tx1">
                  <a:lumMod val="50000"/>
                  <a:lumOff val="50000"/>
                </a:schemeClr>
              </a:solidFill>
              <a:latin typeface="Verdana"/>
              <a:cs typeface="Verdana"/>
            </a:rPr>
            <a:t>(que vous êtres en train de consulter) </a:t>
          </a:r>
          <a:r>
            <a:rPr lang="fr-FR" sz="1200" b="1" baseline="0">
              <a:solidFill>
                <a:schemeClr val="tx1">
                  <a:lumMod val="50000"/>
                  <a:lumOff val="50000"/>
                </a:schemeClr>
              </a:solidFill>
              <a:latin typeface="Verdana"/>
              <a:cs typeface="Verdana"/>
            </a:rPr>
            <a:t>présente 5 zones distinctes:</a:t>
          </a:r>
        </a:p>
        <a:p>
          <a:pPr lvl="1" algn="just"/>
          <a:r>
            <a:rPr lang="fr-FR" sz="1200" b="0" baseline="0">
              <a:solidFill>
                <a:schemeClr val="tx1">
                  <a:lumMod val="50000"/>
                  <a:lumOff val="50000"/>
                </a:schemeClr>
              </a:solidFill>
              <a:latin typeface="Verdana"/>
              <a:cs typeface="Verdana"/>
            </a:rPr>
            <a:t>• la zone d'entête qui permet de paramétrer le calendrier </a:t>
          </a:r>
          <a:r>
            <a:rPr lang="fr-FR" sz="1200" b="0" i="1" baseline="0">
              <a:solidFill>
                <a:schemeClr val="tx1">
                  <a:lumMod val="50000"/>
                  <a:lumOff val="50000"/>
                </a:schemeClr>
              </a:solidFill>
              <a:latin typeface="Verdana"/>
              <a:cs typeface="Verdana"/>
            </a:rPr>
            <a:t>(zones saisissables en rose ou vert) vous permet de</a:t>
          </a:r>
          <a:r>
            <a:rPr lang="fr-FR" sz="1200" b="0" baseline="0">
              <a:solidFill>
                <a:schemeClr val="tx1">
                  <a:lumMod val="50000"/>
                  <a:lumOff val="50000"/>
                </a:schemeClr>
              </a:solidFill>
              <a:latin typeface="Verdana"/>
              <a:cs typeface="Verdana"/>
            </a:rPr>
            <a:t>: </a:t>
          </a:r>
        </a:p>
        <a:p>
          <a:pPr lvl="2" algn="just"/>
          <a:r>
            <a:rPr lang="fr-FR" sz="1200" b="0" baseline="0">
              <a:solidFill>
                <a:schemeClr val="tx1">
                  <a:lumMod val="50000"/>
                  <a:lumOff val="50000"/>
                </a:schemeClr>
              </a:solidFill>
              <a:latin typeface="Verdana"/>
              <a:cs typeface="Verdana"/>
            </a:rPr>
            <a:t>- enregistrer la </a:t>
          </a:r>
          <a:r>
            <a:rPr lang="fr-FR" sz="1200" b="1" baseline="0">
              <a:solidFill>
                <a:schemeClr val="tx1">
                  <a:lumMod val="50000"/>
                  <a:lumOff val="50000"/>
                </a:schemeClr>
              </a:solidFill>
              <a:latin typeface="Verdana"/>
              <a:cs typeface="Verdana"/>
            </a:rPr>
            <a:t>date de début </a:t>
          </a:r>
          <a:r>
            <a:rPr lang="fr-FR" sz="1200" b="0" baseline="0">
              <a:solidFill>
                <a:schemeClr val="tx1">
                  <a:lumMod val="50000"/>
                  <a:lumOff val="50000"/>
                </a:schemeClr>
              </a:solidFill>
              <a:latin typeface="Verdana"/>
              <a:cs typeface="Verdana"/>
            </a:rPr>
            <a:t>du calendrier</a:t>
          </a:r>
          <a:r>
            <a:rPr lang="fr-FR" sz="1200" b="1" baseline="0">
              <a:solidFill>
                <a:schemeClr val="tx1">
                  <a:lumMod val="50000"/>
                  <a:lumOff val="50000"/>
                </a:schemeClr>
              </a:solidFill>
              <a:latin typeface="Verdana"/>
              <a:cs typeface="Verdana"/>
            </a:rPr>
            <a:t>: </a:t>
          </a:r>
          <a:r>
            <a:rPr lang="fr-FR" sz="1200" b="0" baseline="0">
              <a:solidFill>
                <a:schemeClr val="tx1">
                  <a:lumMod val="50000"/>
                  <a:lumOff val="50000"/>
                </a:schemeClr>
              </a:solidFill>
              <a:latin typeface="Verdana"/>
              <a:cs typeface="Verdana"/>
            </a:rPr>
            <a:t>choisir "</a:t>
          </a:r>
          <a:r>
            <a:rPr lang="fr-FR" sz="1200" b="0" u="sng" baseline="0">
              <a:solidFill>
                <a:schemeClr val="tx1">
                  <a:lumMod val="50000"/>
                  <a:lumOff val="50000"/>
                </a:schemeClr>
              </a:solidFill>
              <a:latin typeface="Verdana"/>
              <a:cs typeface="Verdana"/>
            </a:rPr>
            <a:t>ANNÉE</a:t>
          </a:r>
          <a:r>
            <a:rPr lang="fr-FR" sz="1200" b="0" baseline="0">
              <a:solidFill>
                <a:schemeClr val="tx1">
                  <a:lumMod val="50000"/>
                  <a:lumOff val="50000"/>
                </a:schemeClr>
              </a:solidFill>
              <a:latin typeface="Verdana"/>
              <a:cs typeface="Verdana"/>
            </a:rPr>
            <a:t>" et "</a:t>
          </a:r>
          <a:r>
            <a:rPr lang="fr-FR" sz="1200" b="0" u="sng" baseline="0">
              <a:solidFill>
                <a:schemeClr val="tx1">
                  <a:lumMod val="50000"/>
                  <a:lumOff val="50000"/>
                </a:schemeClr>
              </a:solidFill>
              <a:latin typeface="Verdana"/>
              <a:cs typeface="Verdana"/>
            </a:rPr>
            <a:t>MOIS</a:t>
          </a:r>
          <a:r>
            <a:rPr lang="fr-FR" sz="1200" b="0" baseline="0">
              <a:solidFill>
                <a:schemeClr val="tx1">
                  <a:lumMod val="50000"/>
                  <a:lumOff val="50000"/>
                </a:schemeClr>
              </a:solidFill>
              <a:latin typeface="Verdana"/>
              <a:cs typeface="Verdana"/>
            </a:rPr>
            <a:t>" à l'aide des toupies jusqu'à obtenir la date Année/mois désirés.</a:t>
          </a:r>
        </a:p>
        <a:p>
          <a:pPr lvl="2" algn="just"/>
          <a:r>
            <a:rPr lang="fr-FR" sz="1200" b="0" baseline="0">
              <a:solidFill>
                <a:schemeClr val="tx1">
                  <a:lumMod val="50000"/>
                  <a:lumOff val="50000"/>
                </a:schemeClr>
              </a:solidFill>
              <a:latin typeface="Verdana"/>
              <a:cs typeface="Verdana"/>
            </a:rPr>
            <a:t>- définir </a:t>
          </a:r>
          <a:r>
            <a:rPr lang="fr-FR" sz="1200" b="0" u="sng" baseline="0">
              <a:solidFill>
                <a:schemeClr val="tx1">
                  <a:lumMod val="50000"/>
                  <a:lumOff val="50000"/>
                </a:schemeClr>
              </a:solidFill>
              <a:latin typeface="Verdana"/>
              <a:cs typeface="Verdana"/>
            </a:rPr>
            <a:t>l</a:t>
          </a:r>
          <a:r>
            <a:rPr lang="fr-FR" sz="1200" b="0" u="none" baseline="0">
              <a:solidFill>
                <a:schemeClr val="tx1">
                  <a:lumMod val="50000"/>
                  <a:lumOff val="50000"/>
                </a:schemeClr>
              </a:solidFill>
              <a:latin typeface="Verdana"/>
              <a:cs typeface="Verdana"/>
            </a:rPr>
            <a:t>e "</a:t>
          </a:r>
          <a:r>
            <a:rPr lang="fr-FR" sz="1200" b="1" u="sng" baseline="0">
              <a:solidFill>
                <a:schemeClr val="tx1">
                  <a:lumMod val="50000"/>
                  <a:lumOff val="50000"/>
                </a:schemeClr>
              </a:solidFill>
              <a:latin typeface="Verdana"/>
              <a:cs typeface="Verdana"/>
            </a:rPr>
            <a:t>texte du bandeau</a:t>
          </a:r>
          <a:r>
            <a:rPr lang="fr-FR" sz="1200" b="0" u="none" baseline="0">
              <a:solidFill>
                <a:schemeClr val="tx1">
                  <a:lumMod val="50000"/>
                  <a:lumOff val="50000"/>
                </a:schemeClr>
              </a:solidFill>
              <a:latin typeface="Verdana"/>
              <a:cs typeface="Verdana"/>
            </a:rPr>
            <a:t>"</a:t>
          </a:r>
          <a:r>
            <a:rPr lang="fr-FR" sz="1200" b="0" baseline="0">
              <a:solidFill>
                <a:schemeClr val="tx1">
                  <a:lumMod val="50000"/>
                  <a:lumOff val="50000"/>
                </a:schemeClr>
              </a:solidFill>
              <a:latin typeface="Verdana"/>
              <a:cs typeface="Verdana"/>
            </a:rPr>
            <a:t>.</a:t>
          </a:r>
        </a:p>
        <a:p>
          <a:pPr lvl="2" algn="just"/>
          <a:r>
            <a:rPr lang="fr-FR" sz="1200" b="0" baseline="0">
              <a:solidFill>
                <a:schemeClr val="tx1">
                  <a:lumMod val="50000"/>
                  <a:lumOff val="50000"/>
                </a:schemeClr>
              </a:solidFill>
              <a:latin typeface="Verdana"/>
              <a:cs typeface="Verdana"/>
            </a:rPr>
            <a:t>- indiquer un éventuel "</a:t>
          </a:r>
          <a:r>
            <a:rPr lang="fr-FR" sz="1200" b="1" i="0" u="sng" baseline="0">
              <a:solidFill>
                <a:schemeClr val="tx1">
                  <a:lumMod val="50000"/>
                  <a:lumOff val="50000"/>
                </a:schemeClr>
              </a:solidFill>
              <a:latin typeface="Verdana"/>
              <a:cs typeface="Verdana"/>
            </a:rPr>
            <a:t>commentaire</a:t>
          </a:r>
          <a:r>
            <a:rPr lang="fr-FR" sz="1200" b="0" u="none" baseline="0">
              <a:solidFill>
                <a:schemeClr val="tx1">
                  <a:lumMod val="50000"/>
                  <a:lumOff val="50000"/>
                </a:schemeClr>
              </a:solidFill>
              <a:latin typeface="Verdana"/>
              <a:cs typeface="Verdana"/>
            </a:rPr>
            <a:t>"</a:t>
          </a:r>
        </a:p>
        <a:p>
          <a:pPr lvl="2" algn="just"/>
          <a:r>
            <a:rPr lang="fr-FR" sz="1200" b="0" baseline="0">
              <a:solidFill>
                <a:schemeClr val="tx1">
                  <a:lumMod val="50000"/>
                  <a:lumOff val="50000"/>
                </a:schemeClr>
              </a:solidFill>
              <a:latin typeface="Verdana"/>
              <a:cs typeface="Verdana"/>
            </a:rPr>
            <a:t>- cocher ou non l'option "</a:t>
          </a:r>
          <a:r>
            <a:rPr lang="fr-FR" sz="1200" b="1" u="sng" baseline="0">
              <a:solidFill>
                <a:schemeClr val="tx1">
                  <a:lumMod val="50000"/>
                  <a:lumOff val="50000"/>
                </a:schemeClr>
              </a:solidFill>
              <a:latin typeface="Verdana"/>
              <a:cs typeface="Verdana"/>
            </a:rPr>
            <a:t>Prénoms à fêter</a:t>
          </a:r>
          <a:r>
            <a:rPr lang="fr-FR" sz="1200" b="0" baseline="0">
              <a:solidFill>
                <a:schemeClr val="tx1">
                  <a:lumMod val="50000"/>
                  <a:lumOff val="50000"/>
                </a:schemeClr>
              </a:solidFill>
              <a:latin typeface="Verdana"/>
              <a:cs typeface="Verdana"/>
            </a:rPr>
            <a:t>" pour les faire apparaitre dans la vue mensuelle</a:t>
          </a:r>
        </a:p>
        <a:p>
          <a:pPr lvl="2" algn="just"/>
          <a:r>
            <a:rPr lang="fr-FR" sz="1200" b="0" baseline="0">
              <a:solidFill>
                <a:schemeClr val="tx1">
                  <a:lumMod val="50000"/>
                  <a:lumOff val="50000"/>
                </a:schemeClr>
              </a:solidFill>
              <a:latin typeface="Verdana"/>
              <a:cs typeface="Verdana"/>
            </a:rPr>
            <a:t>- sélectionner la "</a:t>
          </a:r>
          <a:r>
            <a:rPr lang="fr-FR" sz="1200" b="1" u="sng" baseline="0">
              <a:solidFill>
                <a:schemeClr val="tx1">
                  <a:lumMod val="50000"/>
                  <a:lumOff val="50000"/>
                </a:schemeClr>
              </a:solidFill>
              <a:latin typeface="Verdana"/>
              <a:cs typeface="Verdana"/>
            </a:rPr>
            <a:t>Ville</a:t>
          </a:r>
          <a:r>
            <a:rPr lang="fr-FR" sz="1200" b="0" baseline="0">
              <a:solidFill>
                <a:schemeClr val="tx1">
                  <a:lumMod val="50000"/>
                  <a:lumOff val="50000"/>
                </a:schemeClr>
              </a:solidFill>
              <a:latin typeface="Verdana"/>
              <a:cs typeface="Verdana"/>
            </a:rPr>
            <a:t>" de votre choix  pour laquelle les heures de lever et de coucher du soleil de la vue "</a:t>
          </a:r>
          <a:r>
            <a:rPr lang="fr-FR" sz="1200" b="0" u="sng" baseline="0">
              <a:solidFill>
                <a:schemeClr val="tx1">
                  <a:lumMod val="50000"/>
                  <a:lumOff val="50000"/>
                </a:schemeClr>
              </a:solidFill>
              <a:latin typeface="Verdana"/>
              <a:cs typeface="Verdana"/>
            </a:rPr>
            <a:t>Mensuel</a:t>
          </a:r>
          <a:r>
            <a:rPr lang="fr-FR" sz="1200" b="0" baseline="0">
              <a:solidFill>
                <a:schemeClr val="tx1">
                  <a:lumMod val="50000"/>
                  <a:lumOff val="50000"/>
                </a:schemeClr>
              </a:solidFill>
              <a:latin typeface="Verdana"/>
              <a:cs typeface="Verdana"/>
            </a:rPr>
            <a:t>" sont calculées</a:t>
          </a:r>
        </a:p>
        <a:p>
          <a:pPr lvl="2" algn="just"/>
          <a:r>
            <a:rPr lang="fr-FR" sz="1200" b="0" baseline="0">
              <a:solidFill>
                <a:schemeClr val="tx1">
                  <a:lumMod val="50000"/>
                  <a:lumOff val="50000"/>
                </a:schemeClr>
              </a:solidFill>
              <a:latin typeface="Verdana"/>
              <a:cs typeface="Verdana"/>
            </a:rPr>
            <a:t>- "</a:t>
          </a:r>
          <a:r>
            <a:rPr lang="fr-FR" sz="1200" b="1" u="sng" baseline="0">
              <a:solidFill>
                <a:schemeClr val="tx1">
                  <a:lumMod val="50000"/>
                  <a:lumOff val="50000"/>
                </a:schemeClr>
              </a:solidFill>
              <a:latin typeface="Verdana"/>
              <a:cs typeface="Verdana"/>
            </a:rPr>
            <a:t>Choix des symboles</a:t>
          </a:r>
          <a:r>
            <a:rPr lang="fr-FR" sz="1200" b="0" u="none" baseline="0">
              <a:solidFill>
                <a:schemeClr val="tx1">
                  <a:lumMod val="50000"/>
                  <a:lumOff val="50000"/>
                </a:schemeClr>
              </a:solidFill>
              <a:latin typeface="Verdana"/>
              <a:cs typeface="Verdana"/>
            </a:rPr>
            <a:t>" </a:t>
          </a:r>
          <a:r>
            <a:rPr lang="fr-FR" sz="1200" b="0" baseline="0">
              <a:solidFill>
                <a:schemeClr val="tx1">
                  <a:lumMod val="50000"/>
                  <a:lumOff val="50000"/>
                </a:schemeClr>
              </a:solidFill>
              <a:latin typeface="Verdana"/>
              <a:cs typeface="Verdana"/>
            </a:rPr>
            <a:t>"Émoticones, Texte ou Dingbats" pour repérer les phases de lune, le soleil, les fêtes</a:t>
          </a:r>
        </a:p>
        <a:p>
          <a:pPr lvl="1" algn="just"/>
          <a:r>
            <a:rPr lang="fr-FR" sz="1200" b="0" baseline="0">
              <a:solidFill>
                <a:schemeClr val="tx1">
                  <a:lumMod val="50000"/>
                  <a:lumOff val="50000"/>
                </a:schemeClr>
              </a:solidFill>
              <a:latin typeface="Verdana"/>
              <a:cs typeface="Verdana"/>
            </a:rPr>
            <a:t>• Ce texte explicatif à lire avant utilisation</a:t>
          </a:r>
        </a:p>
        <a:p>
          <a:pPr lvl="1" algn="just"/>
          <a:r>
            <a:rPr lang="fr-FR" sz="1200" baseline="0">
              <a:solidFill>
                <a:schemeClr val="tx1">
                  <a:lumMod val="50000"/>
                  <a:lumOff val="50000"/>
                </a:schemeClr>
              </a:solidFill>
              <a:latin typeface="Verdana"/>
              <a:cs typeface="Verdana"/>
            </a:rPr>
            <a:t>• La zone suivante, sous ce texte, est une synthèses des "</a:t>
          </a:r>
          <a:r>
            <a:rPr lang="fr-FR" sz="1200" b="1" baseline="0">
              <a:solidFill>
                <a:schemeClr val="tx1">
                  <a:lumMod val="50000"/>
                  <a:lumOff val="50000"/>
                </a:schemeClr>
              </a:solidFill>
              <a:latin typeface="Verdana"/>
              <a:cs typeface="Verdana"/>
            </a:rPr>
            <a:t>Jours Fériés" en année(s) pleine(s) de la période</a:t>
          </a:r>
          <a:r>
            <a:rPr lang="fr-FR" sz="1200" baseline="0">
              <a:solidFill>
                <a:schemeClr val="tx1">
                  <a:lumMod val="50000"/>
                  <a:lumOff val="50000"/>
                </a:schemeClr>
              </a:solidFill>
              <a:latin typeface="Verdana"/>
              <a:cs typeface="Verdana"/>
            </a:rPr>
            <a:t>. Les jours fériés figurent également dans l'onglet "Calendrier" et "Mensuel" en regard de leur date.</a:t>
          </a:r>
        </a:p>
        <a:p>
          <a:pPr lvl="1" algn="just"/>
          <a:r>
            <a:rPr lang="fr-FR" sz="1200" baseline="0">
              <a:solidFill>
                <a:schemeClr val="tx1">
                  <a:lumMod val="50000"/>
                  <a:lumOff val="50000"/>
                </a:schemeClr>
              </a:solidFill>
              <a:latin typeface="Verdana"/>
              <a:cs typeface="Verdana"/>
            </a:rPr>
            <a:t>• La zone </a:t>
          </a:r>
          <a:r>
            <a:rPr lang="fr-FR" sz="1200" b="1" baseline="0">
              <a:solidFill>
                <a:schemeClr val="tx1">
                  <a:lumMod val="50000"/>
                  <a:lumOff val="50000"/>
                </a:schemeClr>
              </a:solidFill>
              <a:latin typeface="Verdana"/>
              <a:cs typeface="Verdana"/>
            </a:rPr>
            <a:t>des "Événements Personnels" </a:t>
          </a:r>
          <a:r>
            <a:rPr lang="fr-FR" sz="1200" baseline="0">
              <a:solidFill>
                <a:schemeClr val="tx1">
                  <a:lumMod val="50000"/>
                  <a:lumOff val="50000"/>
                </a:schemeClr>
              </a:solidFill>
              <a:latin typeface="Verdana"/>
              <a:cs typeface="Verdana"/>
            </a:rPr>
            <a:t>tels que anniversaires ou événements récurrents d'une année sur l'autre restitués en regard de leur date dans les onglets "Calendrier" et Mensuel. Leur ordre de saisie  est indifférent. Le nombre d'événements saisissables est limité à 35.</a:t>
          </a:r>
        </a:p>
        <a:p>
          <a:pPr lvl="1" algn="just"/>
          <a:r>
            <a:rPr lang="fr-FR" sz="1200" b="0" baseline="0">
              <a:solidFill>
                <a:schemeClr val="tx1">
                  <a:lumMod val="50000"/>
                  <a:lumOff val="50000"/>
                </a:schemeClr>
              </a:solidFill>
              <a:latin typeface="Verdana"/>
              <a:cs typeface="Verdana"/>
            </a:rPr>
            <a:t>• La zone des "</a:t>
          </a:r>
          <a:r>
            <a:rPr lang="fr-FR" sz="1200" b="1" baseline="0">
              <a:solidFill>
                <a:schemeClr val="tx1">
                  <a:lumMod val="50000"/>
                  <a:lumOff val="50000"/>
                </a:schemeClr>
              </a:solidFill>
              <a:latin typeface="Verdana"/>
              <a:cs typeface="Verdana"/>
            </a:rPr>
            <a:t>Suivi des versions</a:t>
          </a:r>
          <a:r>
            <a:rPr lang="fr-FR" sz="1200" b="0" baseline="0">
              <a:solidFill>
                <a:schemeClr val="tx1">
                  <a:lumMod val="50000"/>
                  <a:lumOff val="50000"/>
                </a:schemeClr>
              </a:solidFill>
              <a:latin typeface="Verdana"/>
              <a:cs typeface="Verdana"/>
            </a:rPr>
            <a:t>".</a:t>
          </a:r>
        </a:p>
        <a:p>
          <a:pPr lvl="0" algn="just"/>
          <a:r>
            <a:rPr lang="fr-FR" sz="1200" b="1" baseline="0">
              <a:solidFill>
                <a:schemeClr val="tx1">
                  <a:lumMod val="50000"/>
                  <a:lumOff val="50000"/>
                </a:schemeClr>
              </a:solidFill>
              <a:latin typeface="Verdana"/>
              <a:cs typeface="Verdana"/>
            </a:rPr>
            <a:t>L'onglet "Annuel":</a:t>
          </a:r>
        </a:p>
        <a:p>
          <a:pPr lvl="0" algn="just"/>
          <a:r>
            <a:rPr lang="fr-FR" sz="1200" b="0" baseline="0">
              <a:solidFill>
                <a:schemeClr val="tx1">
                  <a:lumMod val="50000"/>
                  <a:lumOff val="50000"/>
                </a:schemeClr>
              </a:solidFill>
              <a:latin typeface="Verdana"/>
              <a:cs typeface="Verdana"/>
            </a:rPr>
            <a:t>Cette vue permet d'avoir une vue globale de l'année choisie incluant les jours fériés ainsi que les numéros de semaine.</a:t>
          </a:r>
        </a:p>
        <a:p>
          <a:pPr lvl="0" algn="just"/>
          <a:r>
            <a:rPr lang="fr-FR" sz="1200" b="1" baseline="0">
              <a:solidFill>
                <a:schemeClr val="tx1">
                  <a:lumMod val="50000"/>
                  <a:lumOff val="50000"/>
                </a:schemeClr>
              </a:solidFill>
              <a:latin typeface="Verdana"/>
              <a:cs typeface="Verdana"/>
            </a:rPr>
            <a:t>L'onglet "Semestriel":</a:t>
          </a:r>
        </a:p>
        <a:p>
          <a:pPr lvl="0" algn="just"/>
          <a:r>
            <a:rPr lang="fr-FR" sz="1200" baseline="0">
              <a:solidFill>
                <a:schemeClr val="tx1">
                  <a:lumMod val="50000"/>
                  <a:lumOff val="50000"/>
                </a:schemeClr>
              </a:solidFill>
              <a:latin typeface="Verdana"/>
              <a:cs typeface="Verdana"/>
            </a:rPr>
            <a:t> Il se présente sous la forme d'un calendrier de type industriel. Les mois sont répartis dans deux blocs de semestres l'un sous l'autre. Outre le jour et la date, figurent  de gauche à droite les informations suivantes:</a:t>
          </a:r>
        </a:p>
        <a:p>
          <a:pPr lvl="1" algn="just"/>
          <a:r>
            <a:rPr lang="fr-FR" sz="1200" baseline="0">
              <a:solidFill>
                <a:schemeClr val="tx1">
                  <a:lumMod val="50000"/>
                  <a:lumOff val="50000"/>
                </a:schemeClr>
              </a:solidFill>
              <a:latin typeface="Verdana"/>
              <a:cs typeface="Verdana"/>
            </a:rPr>
            <a:t>• les phases lunaires</a:t>
          </a:r>
        </a:p>
        <a:p>
          <a:pPr lvl="1" algn="just"/>
          <a:r>
            <a:rPr lang="fr-FR" sz="1200" baseline="0">
              <a:solidFill>
                <a:schemeClr val="tx1">
                  <a:lumMod val="50000"/>
                  <a:lumOff val="50000"/>
                </a:schemeClr>
              </a:solidFill>
              <a:latin typeface="Verdana"/>
              <a:cs typeface="Verdana"/>
            </a:rPr>
            <a:t>• les jours féries et les événements personnels. </a:t>
          </a:r>
        </a:p>
        <a:p>
          <a:pPr lvl="1" algn="just"/>
          <a:r>
            <a:rPr lang="fr-FR" sz="1200" baseline="0">
              <a:solidFill>
                <a:schemeClr val="tx1">
                  <a:lumMod val="50000"/>
                  <a:lumOff val="50000"/>
                </a:schemeClr>
              </a:solidFill>
              <a:latin typeface="Verdana"/>
              <a:cs typeface="Verdana"/>
            </a:rPr>
            <a:t>• le quantième du jour (colonne Q)</a:t>
          </a:r>
        </a:p>
        <a:p>
          <a:pPr lvl="1" algn="just"/>
          <a:r>
            <a:rPr lang="fr-FR" sz="1200" baseline="0">
              <a:solidFill>
                <a:schemeClr val="tx1">
                  <a:lumMod val="50000"/>
                  <a:lumOff val="50000"/>
                </a:schemeClr>
              </a:solidFill>
              <a:latin typeface="Verdana"/>
              <a:cs typeface="Verdana"/>
            </a:rPr>
            <a:t>• les numéros de semaines (colonne S)</a:t>
          </a:r>
        </a:p>
        <a:p>
          <a:pPr lvl="2" algn="just"/>
          <a:r>
            <a:rPr lang="fr-FR" sz="1200" i="1" u="sng" baseline="0">
              <a:solidFill>
                <a:schemeClr val="tx1">
                  <a:lumMod val="50000"/>
                  <a:lumOff val="50000"/>
                </a:schemeClr>
              </a:solidFill>
              <a:latin typeface="Verdana"/>
              <a:cs typeface="Verdana"/>
            </a:rPr>
            <a:t>Nota: </a:t>
          </a:r>
          <a:r>
            <a:rPr lang="fr-FR" sz="1200" i="1" baseline="0">
              <a:solidFill>
                <a:schemeClr val="tx1">
                  <a:lumMod val="50000"/>
                  <a:lumOff val="50000"/>
                </a:schemeClr>
              </a:solidFill>
              <a:latin typeface="Verdana"/>
              <a:cs typeface="Verdana"/>
            </a:rPr>
            <a:t>Si deux événements tombent un même jour, seul le premier rencontré est restitué.</a:t>
          </a:r>
        </a:p>
        <a:p>
          <a:pPr lvl="0" algn="just"/>
          <a:r>
            <a:rPr lang="fr-FR" sz="1200" b="1" i="0" baseline="0">
              <a:solidFill>
                <a:schemeClr val="tx1">
                  <a:lumMod val="50000"/>
                  <a:lumOff val="50000"/>
                </a:schemeClr>
              </a:solidFill>
              <a:latin typeface="Verdana"/>
              <a:cs typeface="Verdana"/>
            </a:rPr>
            <a:t>L'onglet "Mensuel":</a:t>
          </a:r>
        </a:p>
        <a:p>
          <a:pPr lvl="0" algn="just"/>
          <a:r>
            <a:rPr lang="fr-FR" sz="1200" b="0" i="0" baseline="0">
              <a:solidFill>
                <a:schemeClr val="tx1">
                  <a:lumMod val="50000"/>
                  <a:lumOff val="50000"/>
                </a:schemeClr>
              </a:solidFill>
              <a:latin typeface="Verdana"/>
              <a:cs typeface="Verdana"/>
            </a:rPr>
            <a:t>C'est la vue mensuelle du calendrier dans laquelle figurent les heures de </a:t>
          </a:r>
          <a:r>
            <a:rPr lang="fr-FR" sz="1200" b="0" i="0" u="sng" baseline="0">
              <a:solidFill>
                <a:schemeClr val="tx1">
                  <a:lumMod val="50000"/>
                  <a:lumOff val="50000"/>
                </a:schemeClr>
              </a:solidFill>
              <a:latin typeface="Verdana"/>
              <a:cs typeface="Verdana"/>
            </a:rPr>
            <a:t>lever et de coucher du soleil</a:t>
          </a:r>
          <a:r>
            <a:rPr lang="fr-FR" sz="1200" b="0" i="0" baseline="0">
              <a:solidFill>
                <a:schemeClr val="tx1">
                  <a:lumMod val="50000"/>
                  <a:lumOff val="50000"/>
                </a:schemeClr>
              </a:solidFill>
              <a:latin typeface="Verdana"/>
              <a:cs typeface="Verdana"/>
            </a:rPr>
            <a:t>. Cette vue offre également la possibilité d'afficher les </a:t>
          </a:r>
          <a:r>
            <a:rPr lang="fr-FR" sz="1200" b="0" i="0" u="sng" baseline="0">
              <a:solidFill>
                <a:schemeClr val="tx1">
                  <a:lumMod val="50000"/>
                  <a:lumOff val="50000"/>
                </a:schemeClr>
              </a:solidFill>
              <a:latin typeface="Verdana"/>
              <a:cs typeface="Verdana"/>
            </a:rPr>
            <a:t>prénoms à fêter</a:t>
          </a:r>
          <a:r>
            <a:rPr lang="fr-FR" sz="1200" b="0" i="0" baseline="0">
              <a:solidFill>
                <a:schemeClr val="tx1">
                  <a:lumMod val="50000"/>
                  <a:lumOff val="50000"/>
                </a:schemeClr>
              </a:solidFill>
              <a:latin typeface="Verdana"/>
              <a:cs typeface="Verdana"/>
            </a:rPr>
            <a:t>. Il suffit de  cocher la case prévue à cet effet dans la zone de paramétrage du calendrier (voir ci-dessus). Il est possible de changer de mois à l'aide des boutons placés dans l'entête.</a:t>
          </a:r>
        </a:p>
        <a:p>
          <a:pPr lvl="0" algn="just"/>
          <a:r>
            <a:rPr lang="fr-FR" sz="1200" b="1" i="0" baseline="0">
              <a:solidFill>
                <a:schemeClr val="tx1">
                  <a:lumMod val="50000"/>
                  <a:lumOff val="50000"/>
                </a:schemeClr>
              </a:solidFill>
              <a:latin typeface="Verdana"/>
              <a:cs typeface="Verdana"/>
            </a:rPr>
            <a:t>L'onglet "Scolaire" :</a:t>
          </a:r>
        </a:p>
        <a:p>
          <a:pPr lvl="0" algn="just"/>
          <a:r>
            <a:rPr lang="fr-FR" sz="1200" b="0" i="0" baseline="0">
              <a:solidFill>
                <a:schemeClr val="tx1">
                  <a:lumMod val="50000"/>
                  <a:lumOff val="50000"/>
                </a:schemeClr>
              </a:solidFill>
              <a:latin typeface="Verdana"/>
              <a:cs typeface="Verdana"/>
            </a:rPr>
            <a:t>Cette vue permet d'avoir une vue globale de l'année choisie incluant un repérage (F) des jours fériés ainsi que les congés colaires des zones de France métropolitaine (hors Corse).</a:t>
          </a:r>
        </a:p>
        <a:p>
          <a:pPr lvl="0" algn="just"/>
          <a:r>
            <a:rPr lang="fr-FR" sz="1200" b="1" i="0" baseline="0">
              <a:solidFill>
                <a:schemeClr val="tx1">
                  <a:lumMod val="50000"/>
                  <a:lumOff val="50000"/>
                </a:schemeClr>
              </a:solidFill>
              <a:latin typeface="Verdana"/>
              <a:cs typeface="Verdana"/>
            </a:rPr>
            <a:t>Les onglets "Planning" et "Planing data":</a:t>
          </a:r>
        </a:p>
        <a:p>
          <a:pPr lvl="0" algn="just"/>
          <a:r>
            <a:rPr lang="fr-FR" sz="1200" b="0" i="0" baseline="0">
              <a:solidFill>
                <a:schemeClr val="tx1">
                  <a:lumMod val="50000"/>
                  <a:lumOff val="50000"/>
                </a:schemeClr>
              </a:solidFill>
              <a:latin typeface="Verdana"/>
              <a:cs typeface="Verdana"/>
            </a:rPr>
            <a:t>Ces onglets permettent de gérer et visualiser, par exemple le présentéisme d'une équipe de travail. La saisie des noms (ou autre tâche) et dates de début d'absence et de reprise sont saisis dans le tableau "Planing data" en ordre chronologique.</a:t>
          </a:r>
        </a:p>
        <a:p>
          <a:pPr lvl="0" algn="just"/>
          <a:r>
            <a:rPr lang="fr-FR" sz="1200" b="0" i="0" baseline="0">
              <a:solidFill>
                <a:schemeClr val="tx1">
                  <a:lumMod val="50000"/>
                  <a:lumOff val="50000"/>
                </a:schemeClr>
              </a:solidFill>
              <a:latin typeface="Verdana"/>
              <a:cs typeface="Verdana"/>
            </a:rPr>
            <a:t>La restitution sous forme de pseudo-diagramme de Gant se fait dans l'onglet Planning. Cet onglet est exclusivement réservé à la visualisation. Aucune saisie n'y est effectuée. Il est possible d'y faire défiler les mois à l'aide des boutons placés dans l'entête.</a:t>
          </a:r>
        </a:p>
        <a:p>
          <a:pPr lvl="0" algn="just"/>
          <a:r>
            <a:rPr lang="fr-FR" sz="1200" b="1" i="0" baseline="0">
              <a:solidFill>
                <a:schemeClr val="tx1">
                  <a:lumMod val="50000"/>
                  <a:lumOff val="50000"/>
                </a:schemeClr>
              </a:solidFill>
              <a:latin typeface="Verdana"/>
              <a:cs typeface="Verdana"/>
            </a:rPr>
            <a:t>Les onglets "Calculs" et "Soleil"</a:t>
          </a:r>
          <a:endParaRPr lang="fr-FR" sz="1200" i="0" baseline="0">
            <a:solidFill>
              <a:schemeClr val="tx1">
                <a:lumMod val="50000"/>
                <a:lumOff val="50000"/>
              </a:schemeClr>
            </a:solidFill>
            <a:latin typeface="Verdana"/>
            <a:cs typeface="Verdana"/>
          </a:endParaRPr>
        </a:p>
        <a:p>
          <a:pPr lvl="0" algn="just"/>
          <a:r>
            <a:rPr lang="fr-FR" sz="1200" i="0" baseline="0">
              <a:solidFill>
                <a:schemeClr val="tx1">
                  <a:lumMod val="50000"/>
                  <a:lumOff val="50000"/>
                </a:schemeClr>
              </a:solidFill>
              <a:latin typeface="Verdana"/>
              <a:cs typeface="Verdana"/>
            </a:rPr>
            <a:t>Ils sont verrouillés et masqués. Il sont dédiés aux différents calculs dont les résultats sont présentés dans les onglets "Introduction" et "calendriers". Toute intervention dans ces onglets peut altérer ou corrompre les calculs utlisés pour ces calendriers.</a:t>
          </a:r>
        </a:p>
        <a:p>
          <a:pPr lvl="0"/>
          <a:endParaRPr lang="fr-FR" sz="1200" i="0" baseline="0"/>
        </a:p>
        <a:p>
          <a:pPr lvl="2"/>
          <a:endParaRPr lang="fr-FR" sz="1200" i="1" baseline="0"/>
        </a:p>
      </xdr:txBody>
    </xdr:sp>
    <xdr:clientData/>
  </xdr:twoCellAnchor>
  <xdr:twoCellAnchor>
    <xdr:from>
      <xdr:col>1</xdr:col>
      <xdr:colOff>0</xdr:colOff>
      <xdr:row>74</xdr:row>
      <xdr:rowOff>114300</xdr:rowOff>
    </xdr:from>
    <xdr:to>
      <xdr:col>4</xdr:col>
      <xdr:colOff>0</xdr:colOff>
      <xdr:row>104</xdr:row>
      <xdr:rowOff>152400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304800" y="12115800"/>
          <a:ext cx="5499100" cy="500380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pPr algn="ctr"/>
          <a:r>
            <a:rPr lang="fr-FR" sz="1100" b="1"/>
            <a:t>Suivi des versions:</a:t>
          </a:r>
        </a:p>
        <a:p>
          <a:r>
            <a:rPr lang="fr-FR" sz="1100" b="0" u="sng"/>
            <a:t>version 1.1 </a:t>
          </a:r>
          <a:r>
            <a:rPr lang="fr-FR" sz="1100" b="0"/>
            <a:t>:</a:t>
          </a:r>
        </a:p>
        <a:p>
          <a:pPr lvl="1"/>
          <a:r>
            <a:rPr lang="fr-FR" sz="1100" b="0"/>
            <a:t>• Incorporation du nombre de jours ouvrés en bas de chaque mois (avec prise en compte des jours fériés)</a:t>
          </a:r>
        </a:p>
        <a:p>
          <a:pPr lvl="1"/>
          <a:r>
            <a:rPr lang="fr-FR" sz="1100" b="0"/>
            <a:t>• Gestion de la dualité jour férié de Pâques / Heure d’hiver (voir mars 2016)</a:t>
          </a:r>
        </a:p>
        <a:p>
          <a:pPr lvl="1"/>
          <a:r>
            <a:rPr lang="fr-FR" sz="1100" b="0"/>
            <a:t>• Améliorations « cosmétiques » </a:t>
          </a:r>
        </a:p>
        <a:p>
          <a:pPr lvl="0"/>
          <a:r>
            <a:rPr lang="fr-FR" sz="1100" b="0" u="sng"/>
            <a:t>Version 1.2 :</a:t>
          </a:r>
        </a:p>
        <a:p>
          <a:pPr lvl="1"/>
          <a:r>
            <a:rPr lang="fr-FR" sz="1100" b="0"/>
            <a:t>• Personnalisation du texte du bandeau d'entête et de son commentaire</a:t>
          </a:r>
        </a:p>
        <a:p>
          <a:pPr lvl="0"/>
          <a:r>
            <a:rPr lang="fr-FR" sz="1100" b="0" u="sng"/>
            <a:t>Version 1.3 :</a:t>
          </a:r>
        </a:p>
        <a:p>
          <a:pPr lvl="1"/>
          <a:r>
            <a:rPr lang="fr-FR" sz="1100" b="0"/>
            <a:t>• Correction d'anomalies de mise en forme</a:t>
          </a:r>
          <a:r>
            <a:rPr lang="fr-FR" sz="1100" b="0" baseline="0"/>
            <a:t> conditionnelle</a:t>
          </a:r>
          <a:endParaRPr lang="fr-FR" sz="1100" b="0"/>
        </a:p>
        <a:p>
          <a:pPr lvl="1"/>
          <a:r>
            <a:rPr lang="fr-FR" sz="1100" b="0"/>
            <a:t>• Implémentation de la date de début du calendrier selon mois/année (ald</a:t>
          </a:r>
          <a:r>
            <a:rPr lang="fr-FR" sz="1100" b="0" baseline="0"/>
            <a:t> année seule) </a:t>
          </a:r>
          <a:r>
            <a:rPr lang="fr-FR" sz="1100" b="0"/>
            <a:t>pour obtenir,</a:t>
          </a:r>
          <a:r>
            <a:rPr lang="fr-FR" sz="1100" b="0" baseline="0"/>
            <a:t> par ex, un calendrier couvrant une année scolaire.</a:t>
          </a:r>
        </a:p>
        <a:p>
          <a:pPr lvl="0"/>
          <a:r>
            <a:rPr lang="fr-FR" sz="1100" b="0" u="sng" baseline="0"/>
            <a:t>Version 1.4 :</a:t>
          </a:r>
        </a:p>
        <a:p>
          <a:pPr lvl="1"/>
          <a:r>
            <a:rPr lang="fr-FR" sz="1100" b="0" baseline="0"/>
            <a:t>• Sélection de la date d'effet du calendrier par des toupies en remplacement des listes déroulantes.</a:t>
          </a:r>
        </a:p>
        <a:p>
          <a:pPr lvl="0"/>
          <a:r>
            <a:rPr lang="fr-FR" sz="1100" b="0" u="sng" baseline="0"/>
            <a:t>Version 2.0 :</a:t>
          </a:r>
        </a:p>
        <a:p>
          <a:pPr lvl="1"/>
          <a:r>
            <a:rPr lang="fr-FR" sz="1100" b="0" baseline="0"/>
            <a:t>• Implémentation de la vue mensuelle du calendrier avec en option la possiblité d'afficher les prénoms à fêter.</a:t>
          </a:r>
        </a:p>
        <a:p>
          <a:pPr marL="0" lvl="1" indent="0">
            <a:buFontTx/>
            <a:buNone/>
          </a:pPr>
          <a:r>
            <a:rPr lang="fr-FR" sz="1100" b="0" u="sng" baseline="0"/>
            <a:t>Version 2.1 :</a:t>
          </a:r>
        </a:p>
        <a:p>
          <a:pPr lvl="1"/>
          <a:r>
            <a:rPr lang="fr-FR" sz="1100" b="0" baseline="0"/>
            <a:t>• Implémentation dans la vue mensuelle des heures de lever et de coucher du soleil pour une ville au choix à sélectionner dans les paramètres du calendrier.</a:t>
          </a:r>
        </a:p>
        <a:p>
          <a:pPr marL="0" lvl="1"/>
          <a:r>
            <a:rPr lang="fr-FR" sz="1100" b="0" u="sng" baseline="0"/>
            <a:t>Version 2.2 :</a:t>
          </a:r>
        </a:p>
        <a:p>
          <a:pPr marL="432000" lvl="1"/>
          <a:r>
            <a:rPr lang="fr-FR" sz="1100" b="0" baseline="0"/>
            <a:t>• Ajouté choix des symboles pour palier à l'absence éventuelle d'émoticones</a:t>
          </a:r>
        </a:p>
        <a:p>
          <a:pPr marL="0" lvl="1"/>
          <a:r>
            <a:rPr lang="fr-FR" sz="1100" b="0" u="sng" baseline="0"/>
            <a:t>Version 2.3 :</a:t>
          </a:r>
        </a:p>
        <a:p>
          <a:pPr marL="432000" lvl="1"/>
          <a:r>
            <a:rPr lang="fr-FR" sz="1100" b="0" baseline="0"/>
            <a:t>• Ajout de l'onglet Annuel (calendrier sur 1 an).</a:t>
          </a:r>
        </a:p>
        <a:p>
          <a:pPr marL="0" lvl="1"/>
          <a:r>
            <a:rPr lang="fr-FR" sz="1100" b="0" u="sng" baseline="0"/>
            <a:t>Version 2.4:</a:t>
          </a:r>
        </a:p>
        <a:p>
          <a:pPr marL="432000" lvl="1"/>
          <a:r>
            <a:rPr lang="fr-FR" sz="1100" b="0" baseline="0"/>
            <a:t>• Implémentation du calendrier des congés scolaires pour les années scolaires 2015-2016, 2016-2017 et 2017-2018.</a:t>
          </a:r>
        </a:p>
        <a:p>
          <a:pPr marL="0" lvl="1"/>
          <a:r>
            <a:rPr lang="fr-FR" sz="1100" b="0" u="sng" baseline="0"/>
            <a:t>Version 2.5:</a:t>
          </a:r>
        </a:p>
        <a:p>
          <a:pPr lvl="1"/>
          <a:r>
            <a:rPr lang="fr-FR" sz="1100" b="0" baseline="0"/>
            <a:t>• Ajouté choix des dinbats pour palier à l'absence éventuelle d'émoticones.</a:t>
          </a:r>
        </a:p>
        <a:p>
          <a:pPr marL="0" lvl="1"/>
          <a:r>
            <a:rPr lang="fr-FR" sz="1100" b="0" u="sng" baseline="0"/>
            <a:t>Version 2.6:</a:t>
          </a:r>
        </a:p>
        <a:p>
          <a:pPr lvl="1"/>
          <a:r>
            <a:rPr lang="fr-FR" sz="1100" b="0" baseline="0"/>
            <a:t>• Implémentation d'un planing de présentéisme d'une équipe de travail (onglets "Planning" et "Planning data").</a:t>
          </a:r>
        </a:p>
        <a:p>
          <a:pPr lvl="1"/>
          <a:endParaRPr lang="fr-FR" sz="1100" b="0" baseline="0"/>
        </a:p>
        <a:p>
          <a:pPr lvl="1"/>
          <a:endParaRPr lang="fr-FR" sz="1100" b="0"/>
        </a:p>
        <a:p>
          <a:pPr lvl="0"/>
          <a:endParaRPr lang="fr-FR" sz="1100" b="0"/>
        </a:p>
        <a:p>
          <a:endParaRPr lang="fr-FR" sz="1100" b="1"/>
        </a:p>
      </xdr:txBody>
    </xdr:sp>
    <xdr:clientData/>
  </xdr:twoCellAnchor>
  <mc:AlternateContent xmlns:mc="http://schemas.openxmlformats.org/markup-compatibility/2006">
    <mc:Choice xmlns:a14="http://schemas.microsoft.com/office/drawing/2010/main" Requires="a14">
      <xdr:twoCellAnchor>
        <xdr:from>
          <xdr:col>2</xdr:col>
          <xdr:colOff>1498600</xdr:colOff>
          <xdr:row>1</xdr:row>
          <xdr:rowOff>12700</xdr:rowOff>
        </xdr:from>
        <xdr:to>
          <xdr:col>2</xdr:col>
          <xdr:colOff>1803400</xdr:colOff>
          <xdr:row>1</xdr:row>
          <xdr:rowOff>254000</xdr:rowOff>
        </xdr:to>
        <xdr:sp macro="" textlink="">
          <xdr:nvSpPr>
            <xdr:cNvPr id="1036" name="Spinner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1282700</xdr:colOff>
          <xdr:row>1</xdr:row>
          <xdr:rowOff>12700</xdr:rowOff>
        </xdr:from>
        <xdr:to>
          <xdr:col>3</xdr:col>
          <xdr:colOff>1587500</xdr:colOff>
          <xdr:row>1</xdr:row>
          <xdr:rowOff>254000</xdr:rowOff>
        </xdr:to>
        <xdr:sp macro="" textlink="">
          <xdr:nvSpPr>
            <xdr:cNvPr id="1037" name="Spinner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1727200</xdr:colOff>
          <xdr:row>4</xdr:row>
          <xdr:rowOff>12700</xdr:rowOff>
        </xdr:from>
        <xdr:to>
          <xdr:col>6</xdr:col>
          <xdr:colOff>977900</xdr:colOff>
          <xdr:row>4</xdr:row>
          <xdr:rowOff>241300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Cocher pour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1346200</xdr:colOff>
          <xdr:row>5</xdr:row>
          <xdr:rowOff>25400</xdr:rowOff>
        </xdr:from>
        <xdr:to>
          <xdr:col>6</xdr:col>
          <xdr:colOff>977900</xdr:colOff>
          <xdr:row>5</xdr:row>
          <xdr:rowOff>266700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xdr:row>
          <xdr:rowOff>38100</xdr:rowOff>
        </xdr:from>
        <xdr:to>
          <xdr:col>3</xdr:col>
          <xdr:colOff>1219200</xdr:colOff>
          <xdr:row>6</xdr:row>
          <xdr:rowOff>292100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Émoticones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1168400</xdr:colOff>
          <xdr:row>6</xdr:row>
          <xdr:rowOff>25400</xdr:rowOff>
        </xdr:from>
        <xdr:to>
          <xdr:col>4</xdr:col>
          <xdr:colOff>228600</xdr:colOff>
          <xdr:row>6</xdr:row>
          <xdr:rowOff>304800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Texte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6</xdr:row>
          <xdr:rowOff>12700</xdr:rowOff>
        </xdr:from>
        <xdr:to>
          <xdr:col>6</xdr:col>
          <xdr:colOff>965200</xdr:colOff>
          <xdr:row>6</xdr:row>
          <xdr:rowOff>292100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Dingbats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128169</xdr:colOff>
      <xdr:row>2</xdr:row>
      <xdr:rowOff>30605</xdr:rowOff>
    </xdr:from>
    <xdr:to>
      <xdr:col>5</xdr:col>
      <xdr:colOff>305938</xdr:colOff>
      <xdr:row>2</xdr:row>
      <xdr:rowOff>568608</xdr:rowOff>
    </xdr:to>
    <xdr:pic>
      <xdr:nvPicPr>
        <xdr:cNvPr id="3" name="Image 2" descr="lookdown.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05" y="550150"/>
          <a:ext cx="962860" cy="5380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165100</xdr:colOff>
      <xdr:row>1</xdr:row>
      <xdr:rowOff>25401</xdr:rowOff>
    </xdr:from>
    <xdr:to>
      <xdr:col>5</xdr:col>
      <xdr:colOff>1028803</xdr:colOff>
      <xdr:row>2</xdr:row>
      <xdr:rowOff>0</xdr:rowOff>
    </xdr:to>
    <xdr:pic>
      <xdr:nvPicPr>
        <xdr:cNvPr id="6" name="Image 5" descr="lookdown.gif">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00" y="241301"/>
          <a:ext cx="863703" cy="482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63500</xdr:colOff>
          <xdr:row>2</xdr:row>
          <xdr:rowOff>88900</xdr:rowOff>
        </xdr:from>
        <xdr:to>
          <xdr:col>9</xdr:col>
          <xdr:colOff>342900</xdr:colOff>
          <xdr:row>2</xdr:row>
          <xdr:rowOff>368300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10</xdr:col>
      <xdr:colOff>59764</xdr:colOff>
      <xdr:row>2</xdr:row>
      <xdr:rowOff>0</xdr:rowOff>
    </xdr:from>
    <xdr:to>
      <xdr:col>10</xdr:col>
      <xdr:colOff>861709</xdr:colOff>
      <xdr:row>2</xdr:row>
      <xdr:rowOff>448091</xdr:rowOff>
    </xdr:to>
    <xdr:pic>
      <xdr:nvPicPr>
        <xdr:cNvPr id="4" name="Image 3" descr="lookdown.gif">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516" y="382124"/>
          <a:ext cx="801945" cy="4480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104741</xdr:colOff>
      <xdr:row>0</xdr:row>
      <xdr:rowOff>209484</xdr:rowOff>
    </xdr:from>
    <xdr:to>
      <xdr:col>9</xdr:col>
      <xdr:colOff>235668</xdr:colOff>
      <xdr:row>1</xdr:row>
      <xdr:rowOff>497464</xdr:rowOff>
    </xdr:to>
    <xdr:pic>
      <xdr:nvPicPr>
        <xdr:cNvPr id="3" name="Image 2" descr="lookdown.gif">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885" y="209484"/>
          <a:ext cx="890309" cy="4974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553591</xdr:colOff>
      <xdr:row>1</xdr:row>
      <xdr:rowOff>1</xdr:rowOff>
    </xdr:from>
    <xdr:to>
      <xdr:col>1</xdr:col>
      <xdr:colOff>2298031</xdr:colOff>
      <xdr:row>2</xdr:row>
      <xdr:rowOff>2587</xdr:rowOff>
    </xdr:to>
    <xdr:pic>
      <xdr:nvPicPr>
        <xdr:cNvPr id="2" name="Image 1" descr="lookdown.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7591" y="292101"/>
          <a:ext cx="1745109" cy="967786"/>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76200</xdr:colOff>
          <xdr:row>1</xdr:row>
          <xdr:rowOff>139700</xdr:rowOff>
        </xdr:from>
        <xdr:to>
          <xdr:col>4</xdr:col>
          <xdr:colOff>279400</xdr:colOff>
          <xdr:row>1</xdr:row>
          <xdr:rowOff>825500</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1</xdr:col>
      <xdr:colOff>1340556</xdr:colOff>
      <xdr:row>6</xdr:row>
      <xdr:rowOff>282223</xdr:rowOff>
    </xdr:from>
    <xdr:ext cx="1341834" cy="523220"/>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1599260" y="3292593"/>
          <a:ext cx="1341834" cy="523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2800" b="1" i="0">
              <a:solidFill>
                <a:schemeClr val="accent1">
                  <a:lumMod val="75000"/>
                </a:schemeClr>
              </a:solidFill>
              <a:latin typeface="Arial"/>
              <a:cs typeface="Arial"/>
            </a:rPr>
            <a:t>FÊTES</a:t>
          </a:r>
        </a:p>
      </xdr:txBody>
    </xdr:sp>
    <xdr:clientData/>
  </xdr:oneCellAnchor>
  <xdr:oneCellAnchor>
    <xdr:from>
      <xdr:col>1</xdr:col>
      <xdr:colOff>235186</xdr:colOff>
      <xdr:row>6</xdr:row>
      <xdr:rowOff>1246482</xdr:rowOff>
    </xdr:from>
    <xdr:ext cx="1261884" cy="523220"/>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93890" y="4256852"/>
          <a:ext cx="1261884" cy="523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2800" b="1" i="0">
              <a:solidFill>
                <a:schemeClr val="accent1">
                  <a:lumMod val="75000"/>
                </a:schemeClr>
              </a:solidFill>
              <a:latin typeface="Arial"/>
              <a:cs typeface="Arial"/>
            </a:rPr>
            <a:t>NOMS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jacquesrey/Clouds/OneDrive/Documents/Lever-coucher-soleil%20v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jacquesrey/Clouds/OneDrive/Documents/Essai%20dates%20premier%20dernier%20jour%20du%20mo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ucs%20astuces%20et%20r&#233;f&#233;rences%20Excel/calendrier_perpetu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anjacquesrey/Library/Application%20Support/Microsoft/Office/Office%202011%20AutoRecovery/Trucs%20astuces%20et%20r&#233;f&#233;rences%20Excel/calendrier_perpetu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Copie"/>
      <sheetName val="Vue 31"/>
      <sheetName val="Vue 365"/>
      <sheetName val="Calcul"/>
      <sheetName val="Consultation"/>
    </sheetNames>
    <sheetDataSet>
      <sheetData sheetId="0">
        <row r="6">
          <cell r="D6">
            <v>42456</v>
          </cell>
        </row>
        <row r="7">
          <cell r="C7">
            <v>5</v>
          </cell>
        </row>
        <row r="8">
          <cell r="C8">
            <v>1</v>
          </cell>
        </row>
        <row r="9">
          <cell r="C9">
            <v>3</v>
          </cell>
        </row>
        <row r="11">
          <cell r="D11">
            <v>42673</v>
          </cell>
        </row>
        <row r="12">
          <cell r="C12">
            <v>5</v>
          </cell>
        </row>
        <row r="13">
          <cell r="C13">
            <v>1</v>
          </cell>
        </row>
        <row r="14">
          <cell r="C14">
            <v>10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5">
          <cell r="P5">
            <v>3</v>
          </cell>
        </row>
        <row r="11">
          <cell r="P11">
            <v>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ide"/>
      <sheetName val="Licence"/>
      <sheetName val="Jours fériés"/>
      <sheetName val="Vacances"/>
      <sheetName val="Événements"/>
      <sheetName val="Lune"/>
      <sheetName val="Mensuel"/>
      <sheetName val="Colonne"/>
      <sheetName val="Planning mensuel"/>
      <sheetName val="Planning continu"/>
      <sheetName val="Historique"/>
    </sheetNames>
    <sheetDataSet>
      <sheetData sheetId="0"/>
      <sheetData sheetId="1"/>
      <sheetData sheetId="2"/>
      <sheetData sheetId="3">
        <row r="3">
          <cell r="E3" t="str">
            <v>aucun</v>
          </cell>
          <cell r="F3" t="str">
            <v>France</v>
          </cell>
          <cell r="G3" t="str">
            <v>Alsace Moselle</v>
          </cell>
          <cell r="H3" t="str">
            <v>Réunion</v>
          </cell>
          <cell r="I3" t="str">
            <v>Martinique</v>
          </cell>
          <cell r="J3" t="str">
            <v>Guadeloupe</v>
          </cell>
          <cell r="K3" t="str">
            <v>Guyane française</v>
          </cell>
          <cell r="L3" t="str">
            <v>Polynésie française</v>
          </cell>
          <cell r="M3" t="str">
            <v>Nouvelle-Calédonie</v>
          </cell>
          <cell r="N3" t="str">
            <v>Mayotte</v>
          </cell>
          <cell r="O3" t="str">
            <v>Belgique</v>
          </cell>
          <cell r="P3" t="str">
            <v>Luxembourg</v>
          </cell>
          <cell r="Q3" t="str">
            <v>Québec</v>
          </cell>
          <cell r="R3" t="str">
            <v>Suisse</v>
          </cell>
          <cell r="S3" t="str">
            <v>Suisse AG</v>
          </cell>
          <cell r="T3" t="str">
            <v>Suisse AI</v>
          </cell>
          <cell r="U3" t="str">
            <v>Suisse AR</v>
          </cell>
          <cell r="V3" t="str">
            <v>Suisse BE</v>
          </cell>
          <cell r="W3" t="str">
            <v>Suisse BL</v>
          </cell>
          <cell r="X3" t="str">
            <v>Suisse BS</v>
          </cell>
          <cell r="Y3" t="str">
            <v>Suisse FR</v>
          </cell>
          <cell r="Z3" t="str">
            <v>Suisse GE</v>
          </cell>
          <cell r="AA3" t="str">
            <v>Suisse GL</v>
          </cell>
          <cell r="AB3" t="str">
            <v>Suisse GR</v>
          </cell>
          <cell r="AC3" t="str">
            <v>Suisse JU</v>
          </cell>
          <cell r="AD3" t="str">
            <v>Suisse LU</v>
          </cell>
          <cell r="AE3" t="str">
            <v>Suisse NE</v>
          </cell>
          <cell r="AF3" t="str">
            <v>Suisse NW</v>
          </cell>
          <cell r="AG3" t="str">
            <v>Suisse OW</v>
          </cell>
          <cell r="AH3" t="str">
            <v>Suisse SG</v>
          </cell>
          <cell r="AI3" t="str">
            <v>Suisse SH</v>
          </cell>
          <cell r="AJ3" t="str">
            <v>Suisse SO</v>
          </cell>
          <cell r="AK3" t="str">
            <v>Suisse SZ</v>
          </cell>
          <cell r="AL3" t="str">
            <v>Suisse TG</v>
          </cell>
          <cell r="AM3" t="str">
            <v>Suisse TI</v>
          </cell>
          <cell r="AN3" t="str">
            <v>Suisse UR</v>
          </cell>
          <cell r="AO3" t="str">
            <v>Suisse VD</v>
          </cell>
          <cell r="AP3" t="str">
            <v>Suisse VS</v>
          </cell>
          <cell r="AQ3" t="str">
            <v>Suisse ZG</v>
          </cell>
          <cell r="AR3" t="str">
            <v>Suisse ZH</v>
          </cell>
        </row>
      </sheetData>
      <sheetData sheetId="4">
        <row r="2">
          <cell r="E2" t="str">
            <v>aucun</v>
          </cell>
          <cell r="F2" t="str">
            <v>Zone A</v>
          </cell>
          <cell r="G2" t="str">
            <v>Zone B</v>
          </cell>
          <cell r="H2" t="str">
            <v>Zone C</v>
          </cell>
          <cell r="I2" t="str">
            <v>semaine A</v>
          </cell>
          <cell r="J2" t="str">
            <v>semaine B</v>
          </cell>
          <cell r="K2" t="str">
            <v>Martinique</v>
          </cell>
          <cell r="L2" t="str">
            <v>Guadeloupe</v>
          </cell>
          <cell r="M2" t="str">
            <v>Guyane</v>
          </cell>
          <cell r="N2" t="str">
            <v>Réunion</v>
          </cell>
          <cell r="O2" t="str">
            <v>Corse</v>
          </cell>
          <cell r="P2" t="str">
            <v>Polynésie française</v>
          </cell>
          <cell r="Q2" t="str">
            <v>Mayotte</v>
          </cell>
          <cell r="R2" t="str">
            <v>Belgique</v>
          </cell>
        </row>
      </sheetData>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naisons"/>
      <sheetName val="Calendrier"/>
      <sheetName val="Aide"/>
      <sheetName val="Licence"/>
      <sheetName val="Jours fériés"/>
      <sheetName val="Vacances"/>
      <sheetName val="Événements"/>
      <sheetName val="Lune"/>
      <sheetName val="Mensuel"/>
      <sheetName val="Colonne"/>
      <sheetName val="Planning mensuel"/>
      <sheetName val="Planning continu"/>
      <sheetName val="Historique"/>
    </sheetNames>
    <sheetDataSet>
      <sheetData sheetId="0">
        <row r="2">
          <cell r="E2">
            <v>0</v>
          </cell>
        </row>
      </sheetData>
      <sheetData sheetId="1"/>
      <sheetData sheetId="2"/>
      <sheetData sheetId="3">
        <row r="3">
          <cell r="E3" t="str">
            <v>aucun</v>
          </cell>
        </row>
      </sheetData>
      <sheetData sheetId="4">
        <row r="2">
          <cell r="E2" t="str">
            <v>aucun</v>
          </cell>
        </row>
      </sheetData>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pageSetUpPr autoPageBreaks="0" fitToPage="1"/>
  </sheetPr>
  <dimension ref="A1:L110"/>
  <sheetViews>
    <sheetView showGridLines="0" workbookViewId="0">
      <selection activeCell="H5" sqref="H5"/>
    </sheetView>
  </sheetViews>
  <sheetFormatPr baseColWidth="10" defaultColWidth="10.83203125" defaultRowHeight="13" x14ac:dyDescent="0.15"/>
  <cols>
    <col min="1" max="1" width="4" style="1" customWidth="1"/>
    <col min="2" max="2" width="20.5" style="1" customWidth="1"/>
    <col min="3" max="4" width="25.83203125" style="1" customWidth="1"/>
    <col min="5" max="5" width="5" style="1" bestFit="1" customWidth="1"/>
    <col min="6" max="6" width="2.5" style="1" bestFit="1" customWidth="1"/>
    <col min="7" max="7" width="13.5" style="1" customWidth="1"/>
    <col min="8" max="8" width="20.5" style="1" customWidth="1"/>
    <col min="9" max="9" width="10.83203125" style="1"/>
    <col min="10" max="10" width="5.33203125" style="1" customWidth="1"/>
    <col min="11" max="11" width="10.83203125" style="1"/>
    <col min="12" max="12" width="21.83203125" style="1" customWidth="1"/>
    <col min="13" max="16384" width="10.83203125" style="1"/>
  </cols>
  <sheetData>
    <row r="1" spans="1:10" x14ac:dyDescent="0.15">
      <c r="A1" s="57"/>
      <c r="B1" s="57"/>
      <c r="C1" s="57"/>
      <c r="D1" s="57"/>
      <c r="E1" s="57"/>
      <c r="F1" s="57"/>
      <c r="G1" s="57"/>
      <c r="H1" s="57"/>
      <c r="I1" s="57"/>
      <c r="J1" s="57"/>
    </row>
    <row r="2" spans="1:10" ht="22" customHeight="1" x14ac:dyDescent="0.15">
      <c r="A2" s="57"/>
      <c r="B2" s="57"/>
      <c r="C2" s="91" t="s">
        <v>44</v>
      </c>
      <c r="D2" s="92" t="s">
        <v>45</v>
      </c>
      <c r="E2" s="510">
        <f>DATE(Ref_Annee,Ref_Mois,1)</f>
        <v>44197</v>
      </c>
      <c r="F2" s="510"/>
      <c r="G2" s="511"/>
      <c r="H2" s="57"/>
      <c r="I2" s="57"/>
      <c r="J2" s="57"/>
    </row>
    <row r="3" spans="1:10" ht="21" customHeight="1" x14ac:dyDescent="0.15">
      <c r="A3" s="57"/>
      <c r="B3" s="57"/>
      <c r="C3" s="96" t="s">
        <v>41</v>
      </c>
      <c r="D3" s="506" t="s">
        <v>563</v>
      </c>
      <c r="E3" s="506"/>
      <c r="F3" s="506"/>
      <c r="G3" s="507"/>
      <c r="H3" s="93"/>
      <c r="I3" s="57"/>
      <c r="J3" s="57"/>
    </row>
    <row r="4" spans="1:10" ht="21" customHeight="1" x14ac:dyDescent="0.15">
      <c r="A4" s="57"/>
      <c r="B4" s="57"/>
      <c r="C4" s="97" t="s">
        <v>34</v>
      </c>
      <c r="D4" s="508"/>
      <c r="E4" s="508"/>
      <c r="F4" s="508"/>
      <c r="G4" s="509"/>
      <c r="H4" s="94"/>
      <c r="I4" s="57"/>
      <c r="J4" s="57"/>
    </row>
    <row r="5" spans="1:10" ht="21" customHeight="1" x14ac:dyDescent="0.15">
      <c r="A5" s="57"/>
      <c r="B5" s="57"/>
      <c r="C5" s="212" t="s">
        <v>418</v>
      </c>
      <c r="D5" s="213"/>
      <c r="E5" s="214"/>
      <c r="F5" s="214"/>
      <c r="G5" s="215"/>
      <c r="H5" s="94"/>
      <c r="I5" s="57"/>
      <c r="J5" s="57"/>
    </row>
    <row r="6" spans="1:10" s="5" customFormat="1" ht="25" customHeight="1" x14ac:dyDescent="0.2">
      <c r="A6" s="98"/>
      <c r="B6" s="98"/>
      <c r="C6" s="274" t="s">
        <v>472</v>
      </c>
      <c r="D6" s="275"/>
      <c r="E6" s="276"/>
      <c r="F6" s="276">
        <v>26</v>
      </c>
      <c r="G6" s="277"/>
      <c r="H6" s="98"/>
      <c r="I6" s="98"/>
      <c r="J6" s="98"/>
    </row>
    <row r="7" spans="1:10" s="5" customFormat="1" ht="25" customHeight="1" thickBot="1" x14ac:dyDescent="0.25">
      <c r="A7" s="98"/>
      <c r="B7" s="98"/>
      <c r="C7" s="278" t="s">
        <v>511</v>
      </c>
      <c r="D7" s="221"/>
      <c r="E7" s="279">
        <v>1</v>
      </c>
      <c r="F7" s="279"/>
      <c r="G7" s="280"/>
      <c r="H7" s="98"/>
      <c r="I7" s="98"/>
      <c r="J7" s="98"/>
    </row>
    <row r="8" spans="1:10" ht="15" customHeight="1" x14ac:dyDescent="0.15">
      <c r="A8" s="57"/>
      <c r="B8" s="57"/>
      <c r="C8" s="57"/>
      <c r="D8" s="57"/>
      <c r="E8" s="57"/>
      <c r="F8" s="57"/>
      <c r="G8" s="57"/>
      <c r="H8" s="57"/>
      <c r="I8" s="57"/>
      <c r="J8" s="57"/>
    </row>
    <row r="9" spans="1:10" ht="15" customHeight="1" x14ac:dyDescent="0.15">
      <c r="A9" s="57"/>
      <c r="B9" s="57"/>
      <c r="C9" s="57"/>
      <c r="D9" s="57"/>
      <c r="E9" s="57"/>
      <c r="F9" s="57"/>
      <c r="G9" s="57"/>
      <c r="H9" s="57"/>
      <c r="I9" s="57"/>
      <c r="J9" s="57"/>
    </row>
    <row r="10" spans="1:10" ht="15" customHeight="1" x14ac:dyDescent="0.15">
      <c r="A10" s="57"/>
      <c r="B10" s="57"/>
      <c r="C10" s="57"/>
      <c r="D10" s="57"/>
      <c r="E10" s="57"/>
      <c r="F10" s="57"/>
      <c r="G10" s="57"/>
      <c r="H10" s="57"/>
      <c r="I10" s="57"/>
      <c r="J10" s="57"/>
    </row>
    <row r="11" spans="1:10" ht="15" customHeight="1" x14ac:dyDescent="0.15">
      <c r="A11" s="57"/>
      <c r="B11" s="57"/>
      <c r="C11" s="57"/>
      <c r="D11" s="57"/>
      <c r="E11" s="57"/>
      <c r="F11" s="57"/>
      <c r="G11" s="95">
        <v>2021</v>
      </c>
      <c r="H11" s="57"/>
      <c r="I11" s="57"/>
      <c r="J11" s="57"/>
    </row>
    <row r="12" spans="1:10" ht="15" customHeight="1" x14ac:dyDescent="0.15">
      <c r="A12" s="57"/>
      <c r="B12" s="57"/>
      <c r="C12" s="57"/>
      <c r="D12" s="57"/>
      <c r="E12" s="57"/>
      <c r="F12" s="57"/>
      <c r="G12" s="95">
        <v>1</v>
      </c>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7"/>
      <c r="G14" s="57"/>
      <c r="H14" s="57"/>
      <c r="I14" s="57"/>
      <c r="J14" s="57"/>
    </row>
    <row r="15" spans="1:10" ht="15" customHeight="1" x14ac:dyDescent="0.15">
      <c r="A15" s="57"/>
      <c r="B15" s="57"/>
      <c r="C15" s="57"/>
      <c r="D15" s="57"/>
      <c r="E15" s="57"/>
      <c r="F15" s="57"/>
      <c r="G15" s="57"/>
      <c r="H15" s="57"/>
      <c r="I15" s="57"/>
      <c r="J15" s="57"/>
    </row>
    <row r="16" spans="1:10" ht="15" customHeight="1" x14ac:dyDescent="0.15">
      <c r="A16" s="57"/>
      <c r="B16" s="57"/>
      <c r="C16" s="57"/>
      <c r="D16" s="57"/>
      <c r="E16" s="57"/>
      <c r="F16" s="57"/>
      <c r="G16" s="57"/>
      <c r="H16" s="57"/>
      <c r="I16" s="57"/>
      <c r="J16" s="57"/>
    </row>
    <row r="17" spans="1:12" ht="15" customHeight="1" x14ac:dyDescent="0.15">
      <c r="A17" s="57"/>
      <c r="B17" s="57"/>
      <c r="C17" s="57"/>
      <c r="D17" s="57"/>
      <c r="E17" s="57"/>
      <c r="F17" s="57"/>
      <c r="G17" s="57"/>
      <c r="H17" s="57"/>
      <c r="I17" s="57"/>
      <c r="J17" s="57"/>
    </row>
    <row r="18" spans="1:12" ht="15" customHeight="1" x14ac:dyDescent="0.15">
      <c r="A18" s="57"/>
      <c r="B18" s="57"/>
      <c r="C18" s="57"/>
      <c r="D18" s="57"/>
      <c r="E18" s="57"/>
      <c r="F18" s="57"/>
      <c r="G18" s="57"/>
      <c r="H18" s="57"/>
      <c r="I18" s="57"/>
      <c r="J18" s="57"/>
    </row>
    <row r="19" spans="1:12" ht="15" customHeight="1" x14ac:dyDescent="0.15">
      <c r="A19" s="57"/>
      <c r="B19" s="57"/>
      <c r="C19" s="57"/>
      <c r="D19" s="57"/>
      <c r="E19" s="57"/>
      <c r="F19" s="57"/>
      <c r="G19" s="57"/>
      <c r="H19" s="57"/>
      <c r="I19" s="57"/>
      <c r="J19" s="57"/>
    </row>
    <row r="20" spans="1:12" ht="15" customHeight="1" x14ac:dyDescent="0.15">
      <c r="A20" s="57"/>
      <c r="B20" s="57"/>
      <c r="C20" s="57"/>
      <c r="D20" s="57"/>
      <c r="E20" s="57"/>
      <c r="F20" s="57"/>
      <c r="G20" s="57"/>
      <c r="H20" s="57"/>
      <c r="I20" s="57"/>
      <c r="J20" s="57"/>
    </row>
    <row r="21" spans="1:12" ht="15" customHeight="1" x14ac:dyDescent="0.15">
      <c r="A21" s="57"/>
      <c r="B21" s="57"/>
      <c r="C21" s="57"/>
      <c r="D21" s="57"/>
      <c r="E21" s="57"/>
      <c r="F21" s="57"/>
      <c r="G21" s="57"/>
      <c r="H21" s="57"/>
      <c r="I21" s="57"/>
      <c r="J21" s="57"/>
    </row>
    <row r="22" spans="1:12" ht="15" customHeight="1" x14ac:dyDescent="0.15">
      <c r="A22" s="57"/>
      <c r="B22" s="57"/>
      <c r="C22" s="57"/>
      <c r="D22" s="57"/>
      <c r="E22" s="57"/>
      <c r="F22" s="57"/>
      <c r="G22" s="57"/>
      <c r="H22" s="57"/>
      <c r="I22" s="57"/>
      <c r="J22" s="57"/>
    </row>
    <row r="23" spans="1:12" s="28" customFormat="1" ht="15" customHeight="1" x14ac:dyDescent="0.15">
      <c r="A23" s="58"/>
      <c r="B23" s="58"/>
      <c r="C23" s="58"/>
      <c r="D23" s="58"/>
      <c r="E23" s="58"/>
      <c r="F23" s="58"/>
      <c r="G23" s="58"/>
      <c r="H23" s="58"/>
      <c r="I23" s="58"/>
      <c r="J23" s="58"/>
    </row>
    <row r="24" spans="1:12" ht="15" customHeight="1" x14ac:dyDescent="0.15">
      <c r="A24" s="57"/>
      <c r="B24" s="57"/>
      <c r="C24" s="57"/>
      <c r="D24" s="57"/>
      <c r="E24" s="57"/>
      <c r="F24" s="57"/>
      <c r="G24" s="57"/>
      <c r="H24" s="57"/>
      <c r="I24" s="57"/>
      <c r="J24" s="57"/>
    </row>
    <row r="25" spans="1:12" ht="15" customHeight="1" x14ac:dyDescent="0.15">
      <c r="A25" s="57"/>
      <c r="B25" s="57"/>
      <c r="C25" s="57"/>
      <c r="D25" s="57"/>
      <c r="E25" s="57"/>
      <c r="F25" s="57"/>
      <c r="G25" s="57"/>
      <c r="H25" s="57"/>
      <c r="I25" s="57"/>
      <c r="J25" s="57"/>
    </row>
    <row r="26" spans="1:12" ht="15" customHeight="1" x14ac:dyDescent="0.15">
      <c r="A26" s="57"/>
      <c r="B26" s="57"/>
      <c r="C26" s="57"/>
      <c r="D26" s="57"/>
      <c r="E26" s="57"/>
      <c r="F26" s="57"/>
      <c r="G26" s="57"/>
      <c r="H26" s="57"/>
      <c r="I26" s="57"/>
      <c r="J26" s="57"/>
      <c r="L26" s="78"/>
    </row>
    <row r="27" spans="1:12" ht="15" customHeight="1" x14ac:dyDescent="0.15">
      <c r="A27" s="57"/>
      <c r="B27" s="57"/>
      <c r="C27" s="57"/>
      <c r="D27" s="57"/>
      <c r="E27" s="57"/>
      <c r="F27" s="57"/>
      <c r="G27" s="57"/>
      <c r="H27" s="57"/>
      <c r="I27" s="57"/>
      <c r="J27" s="57"/>
    </row>
    <row r="28" spans="1:12" ht="15" customHeight="1" x14ac:dyDescent="0.15">
      <c r="A28" s="57"/>
      <c r="B28" s="57"/>
      <c r="C28" s="57"/>
      <c r="D28" s="57"/>
      <c r="E28" s="57"/>
      <c r="F28" s="57"/>
      <c r="G28" s="57"/>
      <c r="H28" s="57"/>
      <c r="I28" s="57"/>
      <c r="J28" s="57"/>
    </row>
    <row r="29" spans="1:12" ht="15" customHeight="1" x14ac:dyDescent="0.15">
      <c r="A29" s="57"/>
      <c r="B29" s="57"/>
      <c r="C29" s="57"/>
      <c r="D29" s="57"/>
      <c r="E29" s="57"/>
      <c r="F29" s="57"/>
      <c r="G29" s="57"/>
      <c r="H29" s="57"/>
      <c r="I29" s="57"/>
      <c r="J29" s="57"/>
    </row>
    <row r="30" spans="1:12" ht="15" customHeight="1" x14ac:dyDescent="0.15">
      <c r="A30" s="57"/>
      <c r="B30" s="57"/>
      <c r="C30" s="57"/>
      <c r="D30" s="57"/>
      <c r="E30" s="57"/>
      <c r="F30" s="57"/>
      <c r="G30" s="57"/>
      <c r="H30" s="57"/>
      <c r="I30" s="57"/>
      <c r="J30" s="57"/>
    </row>
    <row r="31" spans="1:12" ht="15" customHeight="1" x14ac:dyDescent="0.15">
      <c r="A31" s="57"/>
      <c r="B31" s="57"/>
      <c r="C31" s="57"/>
      <c r="D31" s="57"/>
      <c r="E31" s="57"/>
      <c r="F31" s="57"/>
      <c r="G31" s="57"/>
      <c r="H31" s="57"/>
      <c r="I31" s="57"/>
      <c r="J31" s="57"/>
    </row>
    <row r="32" spans="1:12" ht="15" customHeight="1" x14ac:dyDescent="0.15">
      <c r="A32" s="57"/>
      <c r="B32" s="57"/>
      <c r="C32" s="57"/>
      <c r="D32" s="57"/>
      <c r="E32" s="57"/>
      <c r="F32" s="57"/>
      <c r="G32" s="57"/>
      <c r="H32" s="57"/>
      <c r="I32" s="57"/>
      <c r="J32" s="57"/>
    </row>
    <row r="33" spans="1:10" ht="15" customHeight="1" x14ac:dyDescent="0.15">
      <c r="A33" s="57"/>
      <c r="B33" s="57"/>
      <c r="C33" s="57"/>
      <c r="D33" s="57"/>
      <c r="E33" s="57"/>
      <c r="F33" s="57"/>
      <c r="G33" s="57"/>
      <c r="H33" s="57"/>
      <c r="I33" s="57"/>
      <c r="J33" s="57"/>
    </row>
    <row r="34" spans="1:10" ht="15" customHeight="1" x14ac:dyDescent="0.15">
      <c r="A34" s="57"/>
      <c r="B34" s="57"/>
      <c r="C34" s="57"/>
      <c r="D34" s="57"/>
      <c r="E34" s="57"/>
      <c r="F34" s="57"/>
      <c r="G34" s="57"/>
      <c r="H34" s="57"/>
      <c r="I34" s="57"/>
      <c r="J34" s="57"/>
    </row>
    <row r="35" spans="1:10" ht="15" customHeight="1" x14ac:dyDescent="0.15">
      <c r="A35" s="57"/>
      <c r="B35" s="57"/>
      <c r="C35" s="57"/>
      <c r="D35" s="57"/>
      <c r="E35" s="57"/>
      <c r="F35" s="57"/>
      <c r="G35" s="57"/>
      <c r="H35" s="57"/>
      <c r="I35" s="57"/>
      <c r="J35" s="57"/>
    </row>
    <row r="36" spans="1:10" ht="15" customHeight="1" x14ac:dyDescent="0.15">
      <c r="A36" s="57"/>
      <c r="B36" s="57"/>
      <c r="C36" s="57"/>
      <c r="D36" s="57"/>
      <c r="E36" s="57"/>
      <c r="F36" s="57"/>
      <c r="G36" s="57"/>
      <c r="H36" s="57"/>
      <c r="I36" s="57"/>
      <c r="J36" s="57"/>
    </row>
    <row r="37" spans="1:10" ht="15" customHeight="1" x14ac:dyDescent="0.15">
      <c r="A37" s="57"/>
      <c r="B37" s="57"/>
      <c r="C37" s="57"/>
      <c r="D37" s="57"/>
      <c r="E37" s="57"/>
      <c r="F37" s="57"/>
      <c r="G37" s="57"/>
      <c r="H37" s="57"/>
      <c r="I37" s="57"/>
      <c r="J37" s="57"/>
    </row>
    <row r="38" spans="1:10" ht="15" customHeight="1" x14ac:dyDescent="0.15">
      <c r="A38" s="57"/>
      <c r="B38" s="57"/>
      <c r="C38" s="57"/>
      <c r="D38" s="57"/>
      <c r="E38" s="57"/>
      <c r="F38" s="57"/>
      <c r="G38" s="57"/>
      <c r="H38" s="57"/>
      <c r="I38" s="57"/>
      <c r="J38" s="57"/>
    </row>
    <row r="39" spans="1:10" ht="15" customHeight="1" x14ac:dyDescent="0.15">
      <c r="A39" s="57"/>
      <c r="B39" s="57"/>
      <c r="C39" s="57"/>
      <c r="D39" s="57"/>
      <c r="E39" s="57"/>
      <c r="F39" s="57"/>
      <c r="G39" s="57"/>
      <c r="H39" s="57"/>
      <c r="I39" s="57"/>
      <c r="J39" s="57"/>
    </row>
    <row r="40" spans="1:10" ht="15" customHeight="1" x14ac:dyDescent="0.15">
      <c r="A40" s="57"/>
      <c r="B40" s="57"/>
      <c r="C40" s="57"/>
      <c r="D40" s="57"/>
      <c r="E40" s="57"/>
      <c r="F40" s="57"/>
      <c r="G40" s="57"/>
      <c r="H40" s="57"/>
      <c r="I40" s="57"/>
      <c r="J40" s="57"/>
    </row>
    <row r="41" spans="1:10" ht="15" customHeight="1" x14ac:dyDescent="0.15">
      <c r="A41" s="57"/>
      <c r="B41" s="57"/>
      <c r="C41" s="57"/>
      <c r="D41" s="57"/>
      <c r="E41" s="57"/>
      <c r="F41" s="57"/>
      <c r="G41" s="57"/>
      <c r="H41" s="57"/>
      <c r="I41" s="57"/>
      <c r="J41" s="57"/>
    </row>
    <row r="42" spans="1:10" ht="15" customHeight="1" x14ac:dyDescent="0.15">
      <c r="A42" s="57"/>
      <c r="B42" s="57"/>
      <c r="C42" s="57"/>
      <c r="D42" s="57"/>
      <c r="E42" s="57"/>
      <c r="F42" s="57"/>
      <c r="G42" s="57"/>
      <c r="H42" s="57"/>
      <c r="I42" s="57"/>
      <c r="J42" s="57"/>
    </row>
    <row r="43" spans="1:10" ht="15" customHeight="1" x14ac:dyDescent="0.15">
      <c r="A43" s="57"/>
      <c r="B43" s="57"/>
      <c r="C43" s="57"/>
      <c r="D43" s="57"/>
      <c r="E43" s="57"/>
      <c r="F43" s="57"/>
      <c r="G43" s="57"/>
      <c r="H43" s="57"/>
      <c r="I43" s="57"/>
      <c r="J43" s="57"/>
    </row>
    <row r="44" spans="1:10" ht="15" customHeight="1" x14ac:dyDescent="0.15">
      <c r="A44" s="57"/>
      <c r="B44" s="57"/>
      <c r="C44" s="57"/>
      <c r="D44" s="57"/>
      <c r="E44" s="57"/>
      <c r="F44" s="57"/>
      <c r="G44" s="57"/>
      <c r="H44" s="57"/>
      <c r="I44" s="57"/>
      <c r="J44" s="57"/>
    </row>
    <row r="45" spans="1:10" ht="15" customHeight="1" x14ac:dyDescent="0.15">
      <c r="A45" s="57"/>
      <c r="B45" s="57"/>
      <c r="C45" s="57"/>
      <c r="D45" s="57"/>
      <c r="E45" s="57"/>
      <c r="F45" s="57"/>
      <c r="G45" s="57"/>
      <c r="H45" s="57"/>
      <c r="I45" s="57"/>
      <c r="J45" s="57"/>
    </row>
    <row r="46" spans="1:10" ht="15" customHeight="1" x14ac:dyDescent="0.15">
      <c r="A46" s="57"/>
      <c r="B46" s="57"/>
      <c r="C46" s="57"/>
      <c r="D46" s="57"/>
      <c r="E46" s="57"/>
      <c r="F46" s="57"/>
      <c r="G46" s="57"/>
      <c r="H46" s="57"/>
      <c r="I46" s="57"/>
      <c r="J46" s="57"/>
    </row>
    <row r="47" spans="1:10" ht="15" customHeight="1" x14ac:dyDescent="0.15">
      <c r="A47" s="57"/>
      <c r="B47" s="57"/>
      <c r="C47" s="57"/>
      <c r="D47" s="57"/>
      <c r="E47" s="57"/>
      <c r="F47" s="57"/>
      <c r="G47" s="57"/>
      <c r="H47" s="57"/>
      <c r="I47" s="57"/>
      <c r="J47" s="57"/>
    </row>
    <row r="48" spans="1:10" ht="15" customHeight="1" x14ac:dyDescent="0.15">
      <c r="A48" s="57"/>
      <c r="B48" s="57"/>
      <c r="C48" s="57"/>
      <c r="D48" s="57"/>
      <c r="E48" s="57"/>
      <c r="F48" s="57"/>
      <c r="G48" s="57"/>
      <c r="H48" s="57"/>
      <c r="I48" s="57"/>
      <c r="J48" s="57"/>
    </row>
    <row r="49" spans="1:10" ht="15" customHeight="1" x14ac:dyDescent="0.15">
      <c r="A49" s="57"/>
      <c r="B49" s="57"/>
      <c r="C49" s="57"/>
      <c r="D49" s="57"/>
      <c r="E49" s="57"/>
      <c r="F49" s="57"/>
      <c r="G49" s="57"/>
      <c r="H49" s="57"/>
      <c r="I49" s="57"/>
      <c r="J49" s="57"/>
    </row>
    <row r="50" spans="1:10" ht="15" customHeight="1" x14ac:dyDescent="0.15">
      <c r="A50" s="57"/>
      <c r="B50" s="57"/>
      <c r="C50" s="57"/>
      <c r="D50" s="57"/>
      <c r="E50" s="57"/>
      <c r="F50" s="57"/>
      <c r="G50" s="57"/>
      <c r="H50" s="57"/>
      <c r="I50" s="57"/>
      <c r="J50" s="57"/>
    </row>
    <row r="51" spans="1:10" ht="15" customHeight="1" x14ac:dyDescent="0.15">
      <c r="A51" s="57"/>
      <c r="B51" s="57"/>
      <c r="C51" s="57"/>
      <c r="D51" s="57"/>
      <c r="E51" s="57"/>
      <c r="F51" s="57"/>
      <c r="G51" s="57"/>
      <c r="H51" s="57"/>
      <c r="I51" s="57"/>
      <c r="J51" s="57"/>
    </row>
    <row r="52" spans="1:10" ht="15" customHeight="1" x14ac:dyDescent="0.15">
      <c r="A52" s="57"/>
      <c r="B52" s="57"/>
      <c r="C52" s="57"/>
      <c r="D52" s="57"/>
      <c r="E52" s="57"/>
      <c r="F52" s="57"/>
      <c r="G52" s="57"/>
      <c r="H52" s="57"/>
      <c r="I52" s="57"/>
      <c r="J52" s="57"/>
    </row>
    <row r="53" spans="1:10" ht="15" customHeight="1" x14ac:dyDescent="0.15">
      <c r="A53" s="57"/>
      <c r="B53" s="57"/>
      <c r="C53" s="57"/>
      <c r="D53" s="57"/>
      <c r="E53" s="57"/>
      <c r="F53" s="57"/>
      <c r="G53" s="57"/>
      <c r="H53" s="57"/>
      <c r="I53" s="57"/>
      <c r="J53" s="57"/>
    </row>
    <row r="54" spans="1:10" ht="15" customHeight="1" x14ac:dyDescent="0.15">
      <c r="A54" s="57"/>
      <c r="B54" s="57"/>
      <c r="C54" s="57"/>
      <c r="D54" s="57"/>
      <c r="E54" s="57"/>
      <c r="F54" s="57"/>
      <c r="G54" s="57"/>
      <c r="H54" s="57"/>
      <c r="I54" s="57"/>
      <c r="J54" s="57"/>
    </row>
    <row r="55" spans="1:10" ht="15" customHeight="1" x14ac:dyDescent="0.15">
      <c r="A55" s="57"/>
      <c r="B55" s="57"/>
      <c r="C55" s="57"/>
      <c r="D55" s="57"/>
      <c r="E55" s="57"/>
      <c r="F55" s="57"/>
      <c r="G55" s="57"/>
      <c r="H55" s="57"/>
      <c r="I55" s="57"/>
      <c r="J55" s="57"/>
    </row>
    <row r="56" spans="1:10" ht="15" customHeight="1" x14ac:dyDescent="0.15">
      <c r="A56" s="57"/>
      <c r="B56" s="57"/>
      <c r="C56" s="57"/>
      <c r="D56" s="57"/>
      <c r="E56" s="57"/>
      <c r="F56" s="57"/>
      <c r="G56" s="57"/>
      <c r="H56" s="57"/>
      <c r="I56" s="57"/>
      <c r="J56" s="57"/>
    </row>
    <row r="57" spans="1:10" ht="15" customHeight="1" x14ac:dyDescent="0.15">
      <c r="A57" s="57"/>
      <c r="B57" s="57"/>
      <c r="C57" s="57"/>
      <c r="D57" s="57"/>
      <c r="E57" s="57"/>
      <c r="F57" s="57"/>
      <c r="G57" s="57"/>
      <c r="H57" s="57"/>
      <c r="I57" s="57"/>
      <c r="J57" s="57"/>
    </row>
    <row r="58" spans="1:10" ht="15" customHeight="1" x14ac:dyDescent="0.15">
      <c r="A58" s="57"/>
      <c r="B58" s="57"/>
      <c r="C58" s="57"/>
      <c r="D58" s="57"/>
      <c r="E58" s="57"/>
      <c r="F58" s="57"/>
      <c r="G58" s="57"/>
      <c r="H58" s="57"/>
      <c r="I58" s="57"/>
      <c r="J58" s="57"/>
    </row>
    <row r="59" spans="1:10" ht="15" customHeight="1" x14ac:dyDescent="0.15">
      <c r="A59" s="57"/>
      <c r="B59" s="57"/>
      <c r="C59" s="57"/>
      <c r="D59" s="57"/>
      <c r="E59" s="57"/>
      <c r="F59" s="57"/>
      <c r="G59" s="57"/>
      <c r="H59" s="57"/>
      <c r="I59" s="57"/>
      <c r="J59" s="57"/>
    </row>
    <row r="60" spans="1:10" ht="18" x14ac:dyDescent="0.15">
      <c r="A60" s="57"/>
      <c r="B60" s="503" t="str">
        <f>CONCATENATE("Jours fériés ",Calculs!C92)</f>
        <v>Jours fériés 2021</v>
      </c>
      <c r="C60" s="504"/>
      <c r="D60" s="505"/>
      <c r="E60" s="57"/>
      <c r="F60" s="57"/>
      <c r="G60" s="503" t="s">
        <v>27</v>
      </c>
      <c r="H60" s="504"/>
      <c r="I60" s="505"/>
      <c r="J60" s="57"/>
    </row>
    <row r="61" spans="1:10" ht="15" customHeight="1" x14ac:dyDescent="0.15">
      <c r="A61" s="57"/>
      <c r="B61" s="64" t="s">
        <v>8</v>
      </c>
      <c r="C61" s="65">
        <f>DATE(Ref_Annee,1,1)</f>
        <v>44197</v>
      </c>
      <c r="D61" s="63" t="str">
        <f>IF(Calculs!C90=Calculs!C91,"",Calculs!D21)</f>
        <v/>
      </c>
      <c r="E61" s="57"/>
      <c r="F61" s="57"/>
      <c r="G61" s="79"/>
      <c r="H61" s="512"/>
      <c r="I61" s="513"/>
      <c r="J61" s="57"/>
    </row>
    <row r="62" spans="1:10" ht="16" x14ac:dyDescent="0.15">
      <c r="A62" s="57"/>
      <c r="B62" s="66" t="s">
        <v>9</v>
      </c>
      <c r="C62" s="67">
        <f>DATE(Ref_Annee,3,29.56+0.979*MOD(204-11*MOD(Ref_Annee,19),30)-WEEKDAY(DATE(Ref_Annee,3,28.56+0.979*MOD(204-11*MOD(Ref_Annee,19),30))))</f>
        <v>44290</v>
      </c>
      <c r="D62" s="60" t="str">
        <f>IF(Calculs!C90=Calculs!C91,"",Paques_2)</f>
        <v/>
      </c>
      <c r="E62" s="57"/>
      <c r="F62" s="57"/>
      <c r="G62" s="79">
        <v>44275.442673611113</v>
      </c>
      <c r="H62" s="514" t="s">
        <v>553</v>
      </c>
      <c r="I62" s="515"/>
      <c r="J62" s="57"/>
    </row>
    <row r="63" spans="1:10" ht="16" x14ac:dyDescent="0.15">
      <c r="A63" s="57"/>
      <c r="B63" s="66" t="s">
        <v>23</v>
      </c>
      <c r="C63" s="67">
        <f>Pâques+1</f>
        <v>44291</v>
      </c>
      <c r="D63" s="68" t="str">
        <f>IF(Calculs!C90=Calculs!C91,"",Calculs!D23)</f>
        <v/>
      </c>
      <c r="E63" s="57"/>
      <c r="F63" s="57"/>
      <c r="G63" s="79">
        <v>44368.23064814815</v>
      </c>
      <c r="H63" s="514" t="s">
        <v>554</v>
      </c>
      <c r="I63" s="515"/>
      <c r="J63" s="57"/>
    </row>
    <row r="64" spans="1:10" ht="16" x14ac:dyDescent="0.15">
      <c r="A64" s="57"/>
      <c r="B64" s="66" t="s">
        <v>1</v>
      </c>
      <c r="C64" s="67">
        <f>DATE(Ref_Annee,5,1)</f>
        <v>44317</v>
      </c>
      <c r="D64" s="68" t="str">
        <f>IF(Calculs!C90=Calculs!C91,"",Calculs!D24)</f>
        <v/>
      </c>
      <c r="E64" s="57"/>
      <c r="F64" s="57"/>
      <c r="G64" s="79">
        <v>44461.889618055553</v>
      </c>
      <c r="H64" s="514" t="s">
        <v>555</v>
      </c>
      <c r="I64" s="515"/>
      <c r="J64" s="57"/>
    </row>
    <row r="65" spans="1:10" ht="16" x14ac:dyDescent="0.15">
      <c r="A65" s="57"/>
      <c r="B65" s="66" t="s">
        <v>5</v>
      </c>
      <c r="C65" s="67">
        <f>Pâques+39</f>
        <v>44329</v>
      </c>
      <c r="D65" s="68" t="str">
        <f>IF(Calculs!C90=Calculs!C91,"",Calculs!D25)</f>
        <v/>
      </c>
      <c r="E65" s="57"/>
      <c r="F65" s="57"/>
      <c r="G65" s="79">
        <v>44551.707824074074</v>
      </c>
      <c r="H65" s="514" t="s">
        <v>556</v>
      </c>
      <c r="I65" s="515"/>
      <c r="J65" s="57"/>
    </row>
    <row r="66" spans="1:10" ht="16" x14ac:dyDescent="0.15">
      <c r="A66" s="57"/>
      <c r="B66" s="66" t="s">
        <v>13</v>
      </c>
      <c r="C66" s="67">
        <f>DATE(Ref_Annee,5,8)</f>
        <v>44324</v>
      </c>
      <c r="D66" s="68" t="str">
        <f>IF(Calculs!C90=Calculs!C91,"",Calculs!D26)</f>
        <v/>
      </c>
      <c r="E66" s="57"/>
      <c r="F66" s="57"/>
      <c r="G66" s="79">
        <f>IF(11&gt;=Ref_Mois,DATE(Ref_Annee,11,1)+20-MOD(DATE(Ref_Annee,11,7-WEEKDAY(5)),7),DATE(Ref_Annee+1,11,1)+20-MOD(DATE(Ref_Annee+1,11,7-WEEKDAY(5)),7))</f>
        <v>44518</v>
      </c>
      <c r="H66" s="516" t="s">
        <v>515</v>
      </c>
      <c r="I66" s="517"/>
      <c r="J66" s="57"/>
    </row>
    <row r="67" spans="1:10" ht="16" x14ac:dyDescent="0.2">
      <c r="A67" s="57"/>
      <c r="B67" s="66" t="s">
        <v>6</v>
      </c>
      <c r="C67" s="67">
        <f>Pâques+49</f>
        <v>44339</v>
      </c>
      <c r="D67" s="68" t="str">
        <f>IF(Calculs!C90=Calculs!C91,"",Calculs!D27)</f>
        <v/>
      </c>
      <c r="E67" s="57"/>
      <c r="F67" s="57"/>
      <c r="G67" s="79">
        <f>IF(5&gt;=Ref_Mois,DATE(Ref_Annee,5,11),DATE(Ref_Annee+1,5,11))</f>
        <v>44327</v>
      </c>
      <c r="H67" s="518" t="s">
        <v>512</v>
      </c>
      <c r="I67" s="519"/>
      <c r="J67" s="57"/>
    </row>
    <row r="68" spans="1:10" ht="16" x14ac:dyDescent="0.15">
      <c r="A68" s="57"/>
      <c r="B68" s="66" t="s">
        <v>10</v>
      </c>
      <c r="C68" s="67">
        <f>Pâques+50</f>
        <v>44340</v>
      </c>
      <c r="D68" s="68" t="str">
        <f>IF(Calculs!C90=Calculs!C91,"",Calculs!D28)</f>
        <v/>
      </c>
      <c r="E68" s="57"/>
      <c r="F68" s="57"/>
      <c r="G68" s="79">
        <f>IF(5&gt;=Ref_Mois,DATE(Ref_Annee,5,12),DATE(Ref_Annee+1,5,12))</f>
        <v>44328</v>
      </c>
      <c r="H68" s="514" t="s">
        <v>513</v>
      </c>
      <c r="I68" s="515"/>
      <c r="J68" s="57"/>
    </row>
    <row r="69" spans="1:10" ht="16" x14ac:dyDescent="0.15">
      <c r="A69" s="57"/>
      <c r="B69" s="66" t="s">
        <v>11</v>
      </c>
      <c r="C69" s="67">
        <f>DATE(Ref_Annee,7,14)</f>
        <v>44391</v>
      </c>
      <c r="D69" s="68" t="str">
        <f>IF(Calculs!C90=Calculs!C91,"",Calculs!D29)</f>
        <v/>
      </c>
      <c r="E69" s="57"/>
      <c r="F69" s="57"/>
      <c r="G69" s="79">
        <f>IF(5&gt;=Ref_Mois,DATE(Ref_Annee,5,13),DATE(Ref_Annee+1,5,13))</f>
        <v>44329</v>
      </c>
      <c r="H69" s="514" t="s">
        <v>514</v>
      </c>
      <c r="I69" s="515"/>
      <c r="J69" s="57"/>
    </row>
    <row r="70" spans="1:10" ht="16" x14ac:dyDescent="0.15">
      <c r="A70" s="57"/>
      <c r="B70" s="66" t="s">
        <v>2</v>
      </c>
      <c r="C70" s="67">
        <f>DATE(Ref_Annee,8,15)</f>
        <v>44423</v>
      </c>
      <c r="D70" s="68" t="str">
        <f>IF(Calculs!C90=Calculs!C91,"",Calculs!D30)</f>
        <v/>
      </c>
      <c r="E70" s="57"/>
      <c r="F70" s="57"/>
      <c r="G70" s="79"/>
      <c r="H70" s="514"/>
      <c r="I70" s="515"/>
      <c r="J70" s="57"/>
    </row>
    <row r="71" spans="1:10" ht="16" x14ac:dyDescent="0.15">
      <c r="A71" s="57"/>
      <c r="B71" s="66" t="s">
        <v>3</v>
      </c>
      <c r="C71" s="67">
        <f>DATE(Ref_Annee,11,1)</f>
        <v>44501</v>
      </c>
      <c r="D71" s="68" t="str">
        <f>IF(Calculs!C90=Calculs!C91,"",Calculs!D31)</f>
        <v/>
      </c>
      <c r="E71" s="57"/>
      <c r="F71" s="57"/>
      <c r="G71" s="79"/>
      <c r="H71" s="514"/>
      <c r="I71" s="515"/>
      <c r="J71" s="57"/>
    </row>
    <row r="72" spans="1:10" ht="16" x14ac:dyDescent="0.15">
      <c r="A72" s="57"/>
      <c r="B72" s="66" t="s">
        <v>12</v>
      </c>
      <c r="C72" s="67">
        <f>DATE(Ref_Annee,11,11)</f>
        <v>44511</v>
      </c>
      <c r="D72" s="68" t="str">
        <f>IF(Calculs!C90=Calculs!C91,"",Calculs!D32)</f>
        <v/>
      </c>
      <c r="E72" s="57"/>
      <c r="F72" s="57"/>
      <c r="G72" s="79"/>
      <c r="H72" s="514"/>
      <c r="I72" s="515"/>
      <c r="J72" s="57"/>
    </row>
    <row r="73" spans="1:10" ht="16" x14ac:dyDescent="0.15">
      <c r="A73" s="57"/>
      <c r="B73" s="66" t="s">
        <v>4</v>
      </c>
      <c r="C73" s="67">
        <f>DATE(Ref_Annee,12,25)</f>
        <v>44555</v>
      </c>
      <c r="D73" s="60" t="str">
        <f>IF(Calculs!C90=Calculs!C91,"",Calculs!D33)</f>
        <v/>
      </c>
      <c r="E73" s="57"/>
      <c r="F73" s="57"/>
      <c r="G73" s="79"/>
      <c r="H73" s="514"/>
      <c r="I73" s="515"/>
      <c r="J73" s="57"/>
    </row>
    <row r="74" spans="1:10" ht="17" thickBot="1" x14ac:dyDescent="0.2">
      <c r="A74" s="57"/>
      <c r="B74" s="69"/>
      <c r="C74" s="69"/>
      <c r="D74" s="70"/>
      <c r="E74" s="57"/>
      <c r="F74" s="57"/>
      <c r="G74" s="79"/>
      <c r="H74" s="514"/>
      <c r="I74" s="515"/>
      <c r="J74" s="57"/>
    </row>
    <row r="75" spans="1:10" ht="16" x14ac:dyDescent="0.15">
      <c r="A75" s="57"/>
      <c r="B75" s="37"/>
      <c r="C75" s="37"/>
      <c r="D75" s="37"/>
      <c r="E75" s="57"/>
      <c r="F75" s="57"/>
      <c r="G75" s="79"/>
      <c r="H75" s="514"/>
      <c r="I75" s="515"/>
      <c r="J75" s="57"/>
    </row>
    <row r="76" spans="1:10" ht="16" x14ac:dyDescent="0.15">
      <c r="A76" s="57"/>
      <c r="B76" s="32"/>
      <c r="C76" s="32"/>
      <c r="D76" s="32"/>
      <c r="E76" s="57"/>
      <c r="F76" s="57"/>
      <c r="G76" s="79"/>
      <c r="H76" s="514"/>
      <c r="I76" s="515"/>
      <c r="J76" s="57"/>
    </row>
    <row r="77" spans="1:10" ht="16" x14ac:dyDescent="0.15">
      <c r="A77" s="57"/>
      <c r="B77" s="32"/>
      <c r="C77" s="32"/>
      <c r="D77" s="32"/>
      <c r="E77" s="57"/>
      <c r="F77" s="57"/>
      <c r="G77" s="79"/>
      <c r="H77" s="514"/>
      <c r="I77" s="515"/>
      <c r="J77" s="57"/>
    </row>
    <row r="78" spans="1:10" ht="16" x14ac:dyDescent="0.15">
      <c r="A78" s="57"/>
      <c r="B78" s="32"/>
      <c r="C78" s="32"/>
      <c r="D78" s="32"/>
      <c r="E78" s="57"/>
      <c r="F78" s="57"/>
      <c r="G78" s="79"/>
      <c r="H78" s="514"/>
      <c r="I78" s="515"/>
      <c r="J78" s="57"/>
    </row>
    <row r="79" spans="1:10" ht="16" x14ac:dyDescent="0.15">
      <c r="A79" s="57"/>
      <c r="B79" s="32"/>
      <c r="C79" s="32"/>
      <c r="D79" s="32"/>
      <c r="E79" s="57"/>
      <c r="F79" s="57"/>
      <c r="G79" s="79"/>
      <c r="H79" s="514"/>
      <c r="I79" s="515"/>
      <c r="J79" s="57"/>
    </row>
    <row r="80" spans="1:10" ht="16" x14ac:dyDescent="0.15">
      <c r="A80" s="57"/>
      <c r="B80" s="32"/>
      <c r="C80" s="32"/>
      <c r="D80" s="32"/>
      <c r="E80" s="57"/>
      <c r="F80" s="57"/>
      <c r="G80" s="79"/>
      <c r="H80" s="514"/>
      <c r="I80" s="515"/>
      <c r="J80" s="57"/>
    </row>
    <row r="81" spans="1:10" ht="16" x14ac:dyDescent="0.15">
      <c r="A81" s="57"/>
      <c r="B81" s="32"/>
      <c r="C81" s="32"/>
      <c r="D81" s="32"/>
      <c r="E81" s="57"/>
      <c r="F81" s="57"/>
      <c r="G81" s="79"/>
      <c r="H81" s="514"/>
      <c r="I81" s="515"/>
      <c r="J81" s="57"/>
    </row>
    <row r="82" spans="1:10" ht="16" x14ac:dyDescent="0.15">
      <c r="A82" s="57"/>
      <c r="B82" s="32"/>
      <c r="C82" s="32"/>
      <c r="D82" s="32"/>
      <c r="E82" s="57"/>
      <c r="F82" s="57"/>
      <c r="G82" s="79"/>
      <c r="H82" s="514"/>
      <c r="I82" s="515"/>
      <c r="J82" s="57"/>
    </row>
    <row r="83" spans="1:10" ht="16" x14ac:dyDescent="0.15">
      <c r="A83" s="57"/>
      <c r="B83" s="32"/>
      <c r="C83" s="32"/>
      <c r="D83" s="32"/>
      <c r="E83" s="57"/>
      <c r="F83" s="57"/>
      <c r="G83" s="79"/>
      <c r="H83" s="514"/>
      <c r="I83" s="515"/>
      <c r="J83" s="57"/>
    </row>
    <row r="84" spans="1:10" ht="16" x14ac:dyDescent="0.15">
      <c r="A84" s="57"/>
      <c r="B84" s="32"/>
      <c r="C84" s="32"/>
      <c r="D84" s="32"/>
      <c r="E84" s="57"/>
      <c r="F84" s="57"/>
      <c r="G84" s="79"/>
      <c r="H84" s="514"/>
      <c r="I84" s="515"/>
      <c r="J84" s="57"/>
    </row>
    <row r="85" spans="1:10" ht="16" x14ac:dyDescent="0.15">
      <c r="A85" s="57"/>
      <c r="B85" s="32"/>
      <c r="C85" s="32"/>
      <c r="D85" s="32"/>
      <c r="E85" s="57"/>
      <c r="F85" s="57"/>
      <c r="G85" s="79"/>
      <c r="H85" s="514"/>
      <c r="I85" s="515"/>
      <c r="J85" s="57"/>
    </row>
    <row r="86" spans="1:10" s="5" customFormat="1" ht="16" x14ac:dyDescent="0.2">
      <c r="A86" s="98"/>
      <c r="B86" s="99"/>
      <c r="C86" s="99"/>
      <c r="D86" s="99"/>
      <c r="E86" s="98"/>
      <c r="F86" s="98"/>
      <c r="G86" s="79"/>
      <c r="H86" s="514"/>
      <c r="I86" s="515"/>
      <c r="J86" s="98"/>
    </row>
    <row r="87" spans="1:10" s="5" customFormat="1" ht="16" x14ac:dyDescent="0.2">
      <c r="A87" s="98"/>
      <c r="B87" s="99"/>
      <c r="C87" s="99"/>
      <c r="D87" s="99"/>
      <c r="E87" s="98"/>
      <c r="F87" s="98"/>
      <c r="G87" s="79"/>
      <c r="H87" s="514"/>
      <c r="I87" s="515"/>
      <c r="J87" s="98"/>
    </row>
    <row r="88" spans="1:10" s="5" customFormat="1" ht="16" x14ac:dyDescent="0.2">
      <c r="A88" s="98"/>
      <c r="B88" s="99"/>
      <c r="C88" s="99"/>
      <c r="D88" s="99"/>
      <c r="E88" s="98"/>
      <c r="F88" s="98"/>
      <c r="G88" s="79"/>
      <c r="H88" s="514"/>
      <c r="I88" s="515"/>
      <c r="J88" s="98"/>
    </row>
    <row r="89" spans="1:10" s="5" customFormat="1" ht="16" x14ac:dyDescent="0.2">
      <c r="A89" s="98"/>
      <c r="B89" s="99"/>
      <c r="C89" s="99"/>
      <c r="D89" s="99"/>
      <c r="E89" s="98"/>
      <c r="F89" s="98"/>
      <c r="G89" s="79"/>
      <c r="H89" s="514"/>
      <c r="I89" s="515"/>
      <c r="J89" s="98"/>
    </row>
    <row r="90" spans="1:10" s="5" customFormat="1" ht="16" x14ac:dyDescent="0.2">
      <c r="A90" s="98"/>
      <c r="B90" s="99"/>
      <c r="C90" s="99"/>
      <c r="D90" s="99"/>
      <c r="E90" s="98"/>
      <c r="F90" s="98"/>
      <c r="G90" s="79"/>
      <c r="H90" s="514"/>
      <c r="I90" s="515"/>
      <c r="J90" s="98"/>
    </row>
    <row r="91" spans="1:10" s="5" customFormat="1" ht="16" x14ac:dyDescent="0.2">
      <c r="A91" s="98"/>
      <c r="B91" s="99"/>
      <c r="C91" s="99"/>
      <c r="D91" s="99"/>
      <c r="E91" s="98"/>
      <c r="F91" s="98"/>
      <c r="G91" s="79"/>
      <c r="H91" s="514"/>
      <c r="I91" s="515"/>
      <c r="J91" s="98"/>
    </row>
    <row r="92" spans="1:10" s="5" customFormat="1" ht="16" x14ac:dyDescent="0.2">
      <c r="A92" s="98"/>
      <c r="B92" s="99"/>
      <c r="C92" s="99"/>
      <c r="D92" s="99"/>
      <c r="E92" s="98"/>
      <c r="F92" s="98"/>
      <c r="G92" s="79"/>
      <c r="H92" s="514"/>
      <c r="I92" s="515"/>
      <c r="J92" s="98"/>
    </row>
    <row r="93" spans="1:10" s="5" customFormat="1" ht="16" x14ac:dyDescent="0.2">
      <c r="A93" s="98"/>
      <c r="B93" s="99"/>
      <c r="C93" s="99"/>
      <c r="D93" s="99"/>
      <c r="E93" s="98"/>
      <c r="F93" s="98"/>
      <c r="G93" s="79"/>
      <c r="H93" s="514"/>
      <c r="I93" s="515"/>
      <c r="J93" s="98"/>
    </row>
    <row r="94" spans="1:10" s="5" customFormat="1" ht="16" x14ac:dyDescent="0.2">
      <c r="A94" s="98"/>
      <c r="B94" s="99"/>
      <c r="C94" s="99"/>
      <c r="D94" s="99"/>
      <c r="E94" s="98"/>
      <c r="F94" s="98"/>
      <c r="G94" s="79"/>
      <c r="H94" s="514"/>
      <c r="I94" s="515"/>
      <c r="J94" s="98"/>
    </row>
    <row r="95" spans="1:10" s="5" customFormat="1" ht="17" thickBot="1" x14ac:dyDescent="0.25">
      <c r="A95" s="98"/>
      <c r="B95" s="99"/>
      <c r="C95" s="99"/>
      <c r="D95" s="99"/>
      <c r="E95" s="98"/>
      <c r="F95" s="98"/>
      <c r="G95" s="80"/>
      <c r="H95" s="520"/>
      <c r="I95" s="521"/>
      <c r="J95" s="98"/>
    </row>
    <row r="96" spans="1:10" s="5" customFormat="1" ht="16" x14ac:dyDescent="0.2">
      <c r="A96" s="98"/>
      <c r="B96" s="98"/>
      <c r="C96" s="98"/>
      <c r="D96" s="98"/>
      <c r="E96" s="98"/>
      <c r="F96" s="98"/>
      <c r="G96" s="98"/>
      <c r="H96" s="98"/>
      <c r="I96" s="98"/>
      <c r="J96" s="98"/>
    </row>
    <row r="97" spans="1:10" s="5" customFormat="1" ht="16" x14ac:dyDescent="0.2">
      <c r="A97" s="98"/>
      <c r="B97" s="98"/>
      <c r="C97" s="98"/>
      <c r="D97" s="98"/>
      <c r="E97" s="98"/>
      <c r="F97" s="98"/>
      <c r="G97" s="100" t="str">
        <f ca="1">CONCATENATE("© Jean-Jacques Rey"," — ",MID(CELL("filename",A1),FIND("[",CELL("filename",A1))+1,SUM(FIND({"[";"]"},CELL("filename",A1))*{-1;1})-6))</f>
        <v>© Jean-Jacques Rey — My e-Calendar v2.6 public</v>
      </c>
      <c r="H97" s="98"/>
      <c r="I97" s="98"/>
      <c r="J97" s="98"/>
    </row>
    <row r="98" spans="1:10" s="5" customFormat="1" ht="16" x14ac:dyDescent="0.2">
      <c r="A98" s="98"/>
      <c r="B98" s="98"/>
      <c r="C98" s="98"/>
      <c r="D98" s="98"/>
      <c r="E98" s="98"/>
      <c r="F98" s="98"/>
      <c r="G98" s="100"/>
      <c r="H98" s="98"/>
      <c r="I98" s="98"/>
      <c r="J98" s="98"/>
    </row>
    <row r="99" spans="1:10" s="5" customFormat="1" ht="16" x14ac:dyDescent="0.2">
      <c r="A99" s="98"/>
      <c r="B99" s="98"/>
      <c r="C99" s="98"/>
      <c r="D99" s="98"/>
      <c r="E99" s="98"/>
      <c r="F99" s="98"/>
      <c r="G99" s="98"/>
      <c r="H99" s="98"/>
      <c r="I99" s="98"/>
      <c r="J99" s="98"/>
    </row>
    <row r="100" spans="1:10" s="5" customFormat="1" ht="16" x14ac:dyDescent="0.2">
      <c r="A100" s="98"/>
      <c r="B100" s="98"/>
      <c r="C100" s="98"/>
      <c r="D100" s="98"/>
      <c r="E100" s="98"/>
      <c r="F100" s="98"/>
      <c r="G100" s="98"/>
      <c r="H100" s="98"/>
      <c r="I100" s="98"/>
      <c r="J100" s="98"/>
    </row>
    <row r="101" spans="1:10" s="5" customFormat="1" ht="16" x14ac:dyDescent="0.2">
      <c r="A101" s="98"/>
      <c r="B101" s="98"/>
      <c r="C101" s="98"/>
      <c r="D101" s="98"/>
      <c r="E101" s="98"/>
      <c r="F101" s="98"/>
      <c r="G101" s="98"/>
      <c r="H101" s="98"/>
      <c r="I101" s="98"/>
      <c r="J101" s="98"/>
    </row>
    <row r="102" spans="1:10" s="5" customFormat="1" ht="16" x14ac:dyDescent="0.2">
      <c r="A102" s="98"/>
      <c r="B102" s="98"/>
      <c r="C102" s="98"/>
      <c r="D102" s="98"/>
      <c r="E102" s="98"/>
      <c r="F102" s="98"/>
      <c r="G102" s="98"/>
      <c r="H102" s="98"/>
      <c r="I102" s="98"/>
      <c r="J102" s="98"/>
    </row>
    <row r="103" spans="1:10" s="5" customFormat="1" ht="16" x14ac:dyDescent="0.2">
      <c r="A103" s="98"/>
      <c r="B103" s="98"/>
      <c r="C103" s="98"/>
      <c r="D103" s="98"/>
      <c r="E103" s="98"/>
      <c r="F103" s="98"/>
      <c r="G103" s="98"/>
      <c r="H103" s="98"/>
      <c r="I103" s="98"/>
      <c r="J103" s="98"/>
    </row>
    <row r="104" spans="1:10" s="5" customFormat="1" ht="16" x14ac:dyDescent="0.2">
      <c r="A104" s="98"/>
      <c r="B104" s="98"/>
      <c r="C104" s="98"/>
      <c r="D104" s="98"/>
      <c r="E104" s="98"/>
      <c r="F104" s="98"/>
      <c r="G104" s="98"/>
      <c r="H104" s="98"/>
      <c r="I104" s="98"/>
      <c r="J104" s="98"/>
    </row>
    <row r="105" spans="1:10" s="5" customFormat="1" ht="16" x14ac:dyDescent="0.2">
      <c r="A105" s="98"/>
      <c r="B105" s="98"/>
      <c r="C105" s="98"/>
      <c r="D105" s="98"/>
      <c r="E105" s="98"/>
      <c r="F105" s="98"/>
      <c r="G105" s="98"/>
      <c r="H105" s="98"/>
      <c r="I105" s="98"/>
      <c r="J105" s="98"/>
    </row>
    <row r="106" spans="1:10" s="5" customFormat="1" ht="16" x14ac:dyDescent="0.2">
      <c r="A106" s="98"/>
      <c r="B106" s="98"/>
      <c r="C106" s="98"/>
      <c r="D106" s="98"/>
      <c r="E106" s="98"/>
      <c r="F106" s="98"/>
      <c r="G106" s="98"/>
      <c r="H106" s="98"/>
      <c r="I106" s="98"/>
      <c r="J106" s="98"/>
    </row>
    <row r="107" spans="1:10" s="5" customFormat="1" ht="16" x14ac:dyDescent="0.2"/>
    <row r="108" spans="1:10" s="5" customFormat="1" ht="16" x14ac:dyDescent="0.2"/>
    <row r="109" spans="1:10" s="5" customFormat="1" ht="16" x14ac:dyDescent="0.2"/>
    <row r="110" spans="1:10" s="5" customFormat="1" ht="16" x14ac:dyDescent="0.2"/>
  </sheetData>
  <sheetProtection sheet="1" objects="1" scenarios="1"/>
  <sortState xmlns:xlrd2="http://schemas.microsoft.com/office/spreadsheetml/2017/richdata2" ref="B4:C18">
    <sortCondition ref="C4:C18"/>
  </sortState>
  <mergeCells count="40">
    <mergeCell ref="H91:I91"/>
    <mergeCell ref="H92:I92"/>
    <mergeCell ref="H94:I94"/>
    <mergeCell ref="H93:I93"/>
    <mergeCell ref="H95:I95"/>
    <mergeCell ref="H86:I86"/>
    <mergeCell ref="H87:I87"/>
    <mergeCell ref="H88:I88"/>
    <mergeCell ref="H89:I89"/>
    <mergeCell ref="H90:I90"/>
    <mergeCell ref="H81:I81"/>
    <mergeCell ref="H82:I82"/>
    <mergeCell ref="H83:I83"/>
    <mergeCell ref="H84:I84"/>
    <mergeCell ref="H85:I85"/>
    <mergeCell ref="H76:I76"/>
    <mergeCell ref="H77:I77"/>
    <mergeCell ref="H78:I78"/>
    <mergeCell ref="H79:I79"/>
    <mergeCell ref="H80:I80"/>
    <mergeCell ref="H71:I71"/>
    <mergeCell ref="H72:I72"/>
    <mergeCell ref="H73:I73"/>
    <mergeCell ref="H74:I74"/>
    <mergeCell ref="H75:I75"/>
    <mergeCell ref="H66:I66"/>
    <mergeCell ref="H67:I67"/>
    <mergeCell ref="H68:I68"/>
    <mergeCell ref="H69:I69"/>
    <mergeCell ref="H70:I70"/>
    <mergeCell ref="H61:I61"/>
    <mergeCell ref="H62:I62"/>
    <mergeCell ref="H63:I63"/>
    <mergeCell ref="H64:I64"/>
    <mergeCell ref="H65:I65"/>
    <mergeCell ref="B60:D60"/>
    <mergeCell ref="D3:G3"/>
    <mergeCell ref="D4:G4"/>
    <mergeCell ref="E2:G2"/>
    <mergeCell ref="G60:I60"/>
  </mergeCells>
  <phoneticPr fontId="7" type="noConversion"/>
  <conditionalFormatting sqref="D3:G4">
    <cfRule type="containsBlanks" dxfId="4734" priority="111">
      <formula>LEN(TRIM(D3))=0</formula>
    </cfRule>
    <cfRule type="notContainsBlanks" dxfId="4733" priority="115">
      <formula>LEN(TRIM(D3))&gt;0</formula>
    </cfRule>
  </conditionalFormatting>
  <conditionalFormatting sqref="G61:H61 G70:G95">
    <cfRule type="notContainsBlanks" dxfId="4732" priority="107">
      <formula>LEN(TRIM(G61))&gt;0</formula>
    </cfRule>
    <cfRule type="containsBlanks" dxfId="4731" priority="112">
      <formula>LEN(TRIM(G61))=0</formula>
    </cfRule>
  </conditionalFormatting>
  <conditionalFormatting sqref="H70:H71">
    <cfRule type="notContainsBlanks" dxfId="4730" priority="93">
      <formula>LEN(TRIM(H70))&gt;0</formula>
    </cfRule>
    <cfRule type="containsBlanks" dxfId="4729" priority="94">
      <formula>LEN(TRIM(H70))=0</formula>
    </cfRule>
  </conditionalFormatting>
  <conditionalFormatting sqref="H72">
    <cfRule type="notContainsBlanks" dxfId="4728" priority="89">
      <formula>LEN(TRIM(H72))&gt;0</formula>
    </cfRule>
    <cfRule type="containsBlanks" dxfId="4727" priority="90">
      <formula>LEN(TRIM(H72))=0</formula>
    </cfRule>
  </conditionalFormatting>
  <conditionalFormatting sqref="H73">
    <cfRule type="notContainsBlanks" dxfId="4726" priority="87">
      <formula>LEN(TRIM(H73))&gt;0</formula>
    </cfRule>
    <cfRule type="containsBlanks" dxfId="4725" priority="88">
      <formula>LEN(TRIM(H73))=0</formula>
    </cfRule>
  </conditionalFormatting>
  <conditionalFormatting sqref="H74">
    <cfRule type="notContainsBlanks" dxfId="4724" priority="85">
      <formula>LEN(TRIM(H74))&gt;0</formula>
    </cfRule>
    <cfRule type="containsBlanks" dxfId="4723" priority="86">
      <formula>LEN(TRIM(H74))=0</formula>
    </cfRule>
  </conditionalFormatting>
  <conditionalFormatting sqref="H75">
    <cfRule type="notContainsBlanks" dxfId="4722" priority="83">
      <formula>LEN(TRIM(H75))&gt;0</formula>
    </cfRule>
    <cfRule type="containsBlanks" dxfId="4721" priority="84">
      <formula>LEN(TRIM(H75))=0</formula>
    </cfRule>
  </conditionalFormatting>
  <conditionalFormatting sqref="H76">
    <cfRule type="notContainsBlanks" dxfId="4720" priority="81">
      <formula>LEN(TRIM(H76))&gt;0</formula>
    </cfRule>
    <cfRule type="containsBlanks" dxfId="4719" priority="82">
      <formula>LEN(TRIM(H76))=0</formula>
    </cfRule>
  </conditionalFormatting>
  <conditionalFormatting sqref="H85">
    <cfRule type="notContainsBlanks" dxfId="4718" priority="63">
      <formula>LEN(TRIM(H85))&gt;0</formula>
    </cfRule>
    <cfRule type="containsBlanks" dxfId="4717" priority="64">
      <formula>LEN(TRIM(H85))=0</formula>
    </cfRule>
  </conditionalFormatting>
  <conditionalFormatting sqref="H86">
    <cfRule type="notContainsBlanks" dxfId="4716" priority="61">
      <formula>LEN(TRIM(H86))&gt;0</formula>
    </cfRule>
    <cfRule type="containsBlanks" dxfId="4715" priority="62">
      <formula>LEN(TRIM(H86))=0</formula>
    </cfRule>
  </conditionalFormatting>
  <conditionalFormatting sqref="H87">
    <cfRule type="notContainsBlanks" dxfId="4714" priority="59">
      <formula>LEN(TRIM(H87))&gt;0</formula>
    </cfRule>
    <cfRule type="containsBlanks" dxfId="4713" priority="60">
      <formula>LEN(TRIM(H87))=0</formula>
    </cfRule>
  </conditionalFormatting>
  <conditionalFormatting sqref="H88">
    <cfRule type="notContainsBlanks" dxfId="4712" priority="57">
      <formula>LEN(TRIM(H88))&gt;0</formula>
    </cfRule>
    <cfRule type="containsBlanks" dxfId="4711" priority="58">
      <formula>LEN(TRIM(H88))=0</formula>
    </cfRule>
  </conditionalFormatting>
  <conditionalFormatting sqref="H89">
    <cfRule type="notContainsBlanks" dxfId="4710" priority="55">
      <formula>LEN(TRIM(H89))&gt;0</formula>
    </cfRule>
    <cfRule type="containsBlanks" dxfId="4709" priority="56">
      <formula>LEN(TRIM(H89))=0</formula>
    </cfRule>
  </conditionalFormatting>
  <conditionalFormatting sqref="H90">
    <cfRule type="notContainsBlanks" dxfId="4708" priority="53">
      <formula>LEN(TRIM(H90))&gt;0</formula>
    </cfRule>
    <cfRule type="containsBlanks" dxfId="4707" priority="54">
      <formula>LEN(TRIM(H90))=0</formula>
    </cfRule>
  </conditionalFormatting>
  <conditionalFormatting sqref="H91">
    <cfRule type="notContainsBlanks" dxfId="4706" priority="51">
      <formula>LEN(TRIM(H91))&gt;0</formula>
    </cfRule>
    <cfRule type="containsBlanks" dxfId="4705" priority="52">
      <formula>LEN(TRIM(H91))=0</formula>
    </cfRule>
  </conditionalFormatting>
  <conditionalFormatting sqref="H92">
    <cfRule type="notContainsBlanks" dxfId="4704" priority="49">
      <formula>LEN(TRIM(H92))&gt;0</formula>
    </cfRule>
    <cfRule type="containsBlanks" dxfId="4703" priority="50">
      <formula>LEN(TRIM(H92))=0</formula>
    </cfRule>
  </conditionalFormatting>
  <conditionalFormatting sqref="H94">
    <cfRule type="notContainsBlanks" dxfId="4702" priority="47">
      <formula>LEN(TRIM(H94))&gt;0</formula>
    </cfRule>
    <cfRule type="containsBlanks" dxfId="4701" priority="48">
      <formula>LEN(TRIM(H94))=0</formula>
    </cfRule>
  </conditionalFormatting>
  <conditionalFormatting sqref="H93">
    <cfRule type="notContainsBlanks" dxfId="4700" priority="45">
      <formula>LEN(TRIM(H93))&gt;0</formula>
    </cfRule>
    <cfRule type="containsBlanks" dxfId="4699" priority="46">
      <formula>LEN(TRIM(H93))=0</formula>
    </cfRule>
  </conditionalFormatting>
  <conditionalFormatting sqref="H95">
    <cfRule type="notContainsBlanks" dxfId="4698" priority="43">
      <formula>LEN(TRIM(H95))&gt;0</formula>
    </cfRule>
    <cfRule type="containsBlanks" dxfId="4697" priority="44">
      <formula>LEN(TRIM(H95))=0</formula>
    </cfRule>
  </conditionalFormatting>
  <conditionalFormatting sqref="H81:H84">
    <cfRule type="notContainsBlanks" dxfId="4696" priority="33">
      <formula>LEN(TRIM(H81))&gt;0</formula>
    </cfRule>
    <cfRule type="containsBlanks" dxfId="4695" priority="34">
      <formula>LEN(TRIM(H81))=0</formula>
    </cfRule>
  </conditionalFormatting>
  <conditionalFormatting sqref="H77">
    <cfRule type="notContainsBlanks" dxfId="4694" priority="31">
      <formula>LEN(TRIM(H77))&gt;0</formula>
    </cfRule>
    <cfRule type="containsBlanks" dxfId="4693" priority="32">
      <formula>LEN(TRIM(H77))=0</formula>
    </cfRule>
  </conditionalFormatting>
  <conditionalFormatting sqref="H78">
    <cfRule type="notContainsBlanks" dxfId="4692" priority="29">
      <formula>LEN(TRIM(H78))&gt;0</formula>
    </cfRule>
    <cfRule type="containsBlanks" dxfId="4691" priority="30">
      <formula>LEN(TRIM(H78))=0</formula>
    </cfRule>
  </conditionalFormatting>
  <conditionalFormatting sqref="H79">
    <cfRule type="notContainsBlanks" dxfId="4690" priority="27">
      <formula>LEN(TRIM(H79))&gt;0</formula>
    </cfRule>
    <cfRule type="containsBlanks" dxfId="4689" priority="28">
      <formula>LEN(TRIM(H79))=0</formula>
    </cfRule>
  </conditionalFormatting>
  <conditionalFormatting sqref="H80">
    <cfRule type="notContainsBlanks" dxfId="4688" priority="25">
      <formula>LEN(TRIM(H80))&gt;0</formula>
    </cfRule>
    <cfRule type="containsBlanks" dxfId="4687" priority="26">
      <formula>LEN(TRIM(H80))=0</formula>
    </cfRule>
  </conditionalFormatting>
  <conditionalFormatting sqref="G66">
    <cfRule type="notContainsBlanks" dxfId="4686" priority="21">
      <formula>LEN(TRIM(G66))&gt;0</formula>
    </cfRule>
    <cfRule type="containsBlanks" dxfId="4685" priority="22">
      <formula>LEN(TRIM(G66))=0</formula>
    </cfRule>
  </conditionalFormatting>
  <conditionalFormatting sqref="G66:H66 H67:H68">
    <cfRule type="notContainsBlanks" dxfId="4684" priority="23">
      <formula>LEN(TRIM(G66))&gt;0</formula>
    </cfRule>
    <cfRule type="containsBlanks" dxfId="4683" priority="24">
      <formula>LEN(TRIM(G66))=0</formula>
    </cfRule>
  </conditionalFormatting>
  <conditionalFormatting sqref="H69">
    <cfRule type="notContainsBlanks" dxfId="4682" priority="19">
      <formula>LEN(TRIM(H69))&gt;0</formula>
    </cfRule>
    <cfRule type="containsBlanks" dxfId="4681" priority="20">
      <formula>LEN(TRIM(H69))=0</formula>
    </cfRule>
  </conditionalFormatting>
  <conditionalFormatting sqref="G67">
    <cfRule type="notContainsBlanks" dxfId="4680" priority="15">
      <formula>LEN(TRIM(G67))&gt;0</formula>
    </cfRule>
    <cfRule type="containsBlanks" dxfId="4679" priority="16">
      <formula>LEN(TRIM(G67))=0</formula>
    </cfRule>
  </conditionalFormatting>
  <conditionalFormatting sqref="G67">
    <cfRule type="notContainsBlanks" dxfId="4678" priority="17">
      <formula>LEN(TRIM(G67))&gt;0</formula>
    </cfRule>
    <cfRule type="containsBlanks" dxfId="4677" priority="18">
      <formula>LEN(TRIM(G67))=0</formula>
    </cfRule>
  </conditionalFormatting>
  <conditionalFormatting sqref="G68:G69">
    <cfRule type="notContainsBlanks" dxfId="4676" priority="11">
      <formula>LEN(TRIM(G68))&gt;0</formula>
    </cfRule>
    <cfRule type="containsBlanks" dxfId="4675" priority="12">
      <formula>LEN(TRIM(G68))=0</formula>
    </cfRule>
  </conditionalFormatting>
  <conditionalFormatting sqref="G68:G69">
    <cfRule type="notContainsBlanks" dxfId="4674" priority="13">
      <formula>LEN(TRIM(G68))&gt;0</formula>
    </cfRule>
    <cfRule type="containsBlanks" dxfId="4673" priority="14">
      <formula>LEN(TRIM(G68))=0</formula>
    </cfRule>
  </conditionalFormatting>
  <conditionalFormatting sqref="G62:G65">
    <cfRule type="notContainsBlanks" dxfId="4672" priority="9">
      <formula>LEN(TRIM(G62))&gt;0</formula>
    </cfRule>
    <cfRule type="containsBlanks" dxfId="4671" priority="10">
      <formula>LEN(TRIM(G62))=0</formula>
    </cfRule>
  </conditionalFormatting>
  <conditionalFormatting sqref="H62">
    <cfRule type="notContainsBlanks" dxfId="4670" priority="7">
      <formula>LEN(TRIM(H62))&gt;0</formula>
    </cfRule>
    <cfRule type="containsBlanks" dxfId="4669" priority="8">
      <formula>LEN(TRIM(H62))=0</formula>
    </cfRule>
  </conditionalFormatting>
  <conditionalFormatting sqref="H63">
    <cfRule type="notContainsBlanks" dxfId="4668" priority="5">
      <formula>LEN(TRIM(H63))&gt;0</formula>
    </cfRule>
    <cfRule type="containsBlanks" dxfId="4667" priority="6">
      <formula>LEN(TRIM(H63))=0</formula>
    </cfRule>
  </conditionalFormatting>
  <conditionalFormatting sqref="H64">
    <cfRule type="notContainsBlanks" dxfId="4666" priority="3">
      <formula>LEN(TRIM(H64))&gt;0</formula>
    </cfRule>
    <cfRule type="containsBlanks" dxfId="4665" priority="4">
      <formula>LEN(TRIM(H64))=0</formula>
    </cfRule>
  </conditionalFormatting>
  <conditionalFormatting sqref="H65">
    <cfRule type="notContainsBlanks" dxfId="4664" priority="1">
      <formula>LEN(TRIM(H65))&gt;0</formula>
    </cfRule>
    <cfRule type="containsBlanks" dxfId="4663" priority="2">
      <formula>LEN(TRIM(H65))=0</formula>
    </cfRule>
  </conditionalFormatting>
  <printOptions horizontalCentered="1" verticalCentered="1"/>
  <pageMargins left="0.35629921259842523" right="0.35629921259842523" top="0.40944881889763785" bottom="0.40944881889763785" header="0" footer="0"/>
  <pageSetup paperSize="9" scale="31"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36" r:id="rId3" name="Spinner 12">
              <controlPr defaultSize="0" autoPict="0">
                <anchor moveWithCells="1" sizeWithCells="1">
                  <from>
                    <xdr:col>2</xdr:col>
                    <xdr:colOff>1498600</xdr:colOff>
                    <xdr:row>1</xdr:row>
                    <xdr:rowOff>12700</xdr:rowOff>
                  </from>
                  <to>
                    <xdr:col>2</xdr:col>
                    <xdr:colOff>1803400</xdr:colOff>
                    <xdr:row>1</xdr:row>
                    <xdr:rowOff>254000</xdr:rowOff>
                  </to>
                </anchor>
              </controlPr>
            </control>
          </mc:Choice>
        </mc:AlternateContent>
        <mc:AlternateContent xmlns:mc="http://schemas.openxmlformats.org/markup-compatibility/2006">
          <mc:Choice Requires="x14">
            <control shapeId="1037" r:id="rId4" name="Spinner 13">
              <controlPr defaultSize="0" autoPict="0">
                <anchor moveWithCells="1" sizeWithCells="1">
                  <from>
                    <xdr:col>3</xdr:col>
                    <xdr:colOff>1282700</xdr:colOff>
                    <xdr:row>1</xdr:row>
                    <xdr:rowOff>12700</xdr:rowOff>
                  </from>
                  <to>
                    <xdr:col>3</xdr:col>
                    <xdr:colOff>1587500</xdr:colOff>
                    <xdr:row>1</xdr:row>
                    <xdr:rowOff>254000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xdr:col>
                    <xdr:colOff>1727200</xdr:colOff>
                    <xdr:row>4</xdr:row>
                    <xdr:rowOff>12700</xdr:rowOff>
                  </from>
                  <to>
                    <xdr:col>6</xdr:col>
                    <xdr:colOff>977900</xdr:colOff>
                    <xdr:row>4</xdr:row>
                    <xdr:rowOff>241300</xdr:rowOff>
                  </to>
                </anchor>
              </controlPr>
            </control>
          </mc:Choice>
        </mc:AlternateContent>
        <mc:AlternateContent xmlns:mc="http://schemas.openxmlformats.org/markup-compatibility/2006">
          <mc:Choice Requires="x14">
            <control shapeId="1041" r:id="rId6" name="Drop Down 17">
              <controlPr defaultSize="0" autoLine="0" autoPict="0">
                <anchor moveWithCells="1">
                  <from>
                    <xdr:col>3</xdr:col>
                    <xdr:colOff>1346200</xdr:colOff>
                    <xdr:row>5</xdr:row>
                    <xdr:rowOff>25400</xdr:rowOff>
                  </from>
                  <to>
                    <xdr:col>6</xdr:col>
                    <xdr:colOff>977900</xdr:colOff>
                    <xdr:row>5</xdr:row>
                    <xdr:rowOff>266700</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3</xdr:col>
                    <xdr:colOff>88900</xdr:colOff>
                    <xdr:row>6</xdr:row>
                    <xdr:rowOff>38100</xdr:rowOff>
                  </from>
                  <to>
                    <xdr:col>3</xdr:col>
                    <xdr:colOff>1219200</xdr:colOff>
                    <xdr:row>6</xdr:row>
                    <xdr:rowOff>292100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3</xdr:col>
                    <xdr:colOff>1168400</xdr:colOff>
                    <xdr:row>6</xdr:row>
                    <xdr:rowOff>25400</xdr:rowOff>
                  </from>
                  <to>
                    <xdr:col>4</xdr:col>
                    <xdr:colOff>228600</xdr:colOff>
                    <xdr:row>6</xdr:row>
                    <xdr:rowOff>304800</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4</xdr:col>
                    <xdr:colOff>292100</xdr:colOff>
                    <xdr:row>6</xdr:row>
                    <xdr:rowOff>12700</xdr:rowOff>
                  </from>
                  <to>
                    <xdr:col>6</xdr:col>
                    <xdr:colOff>965200</xdr:colOff>
                    <xdr:row>6</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B2:AL34"/>
  <sheetViews>
    <sheetView showGridLines="0" zoomScale="110" zoomScaleNormal="110" zoomScalePageLayoutView="110" workbookViewId="0">
      <selection activeCell="T14" sqref="T14"/>
    </sheetView>
  </sheetViews>
  <sheetFormatPr baseColWidth="10" defaultColWidth="10.83203125" defaultRowHeight="18" x14ac:dyDescent="0.2"/>
  <cols>
    <col min="1" max="1" width="3" style="284" customWidth="1"/>
    <col min="2" max="2" width="2.33203125" style="284" customWidth="1"/>
    <col min="3" max="9" width="5.1640625" style="284" customWidth="1"/>
    <col min="10" max="10" width="5.1640625" style="319" customWidth="1"/>
    <col min="11" max="18" width="5.1640625" style="284" customWidth="1"/>
    <col min="19" max="19" width="5.1640625" style="319" customWidth="1"/>
    <col min="20" max="27" width="5.1640625" style="284" customWidth="1"/>
    <col min="28" max="28" width="5.1640625" style="319" customWidth="1"/>
    <col min="29" max="36" width="5.1640625" style="284" customWidth="1"/>
    <col min="37" max="37" width="5.1640625" style="319" customWidth="1"/>
    <col min="38" max="38" width="3" style="284" customWidth="1"/>
    <col min="39" max="16384" width="10.83203125" style="284"/>
  </cols>
  <sheetData>
    <row r="2" spans="2:38" ht="24" customHeight="1" x14ac:dyDescent="0.2">
      <c r="B2" s="281"/>
      <c r="C2" s="282"/>
      <c r="D2" s="282"/>
      <c r="E2" s="282"/>
      <c r="F2" s="282"/>
      <c r="G2" s="282"/>
      <c r="H2" s="282"/>
      <c r="I2" s="282"/>
      <c r="J2" s="313"/>
      <c r="K2" s="282"/>
      <c r="L2" s="282"/>
      <c r="M2" s="282"/>
      <c r="N2" s="282"/>
      <c r="O2" s="282"/>
      <c r="P2" s="282"/>
      <c r="Q2" s="282"/>
      <c r="R2" s="282"/>
      <c r="S2" s="313"/>
      <c r="T2" s="282"/>
      <c r="U2" s="282"/>
      <c r="V2" s="282"/>
      <c r="W2" s="282"/>
      <c r="X2" s="282"/>
      <c r="Y2" s="282"/>
      <c r="Z2" s="282"/>
      <c r="AA2" s="282"/>
      <c r="AB2" s="313"/>
      <c r="AC2" s="282"/>
      <c r="AD2" s="282"/>
      <c r="AE2" s="282"/>
      <c r="AF2" s="282"/>
      <c r="AG2" s="282"/>
      <c r="AH2" s="282"/>
      <c r="AI2" s="282"/>
      <c r="AJ2" s="282"/>
      <c r="AK2" s="313"/>
      <c r="AL2" s="283"/>
    </row>
    <row r="3" spans="2:38" ht="46" customHeight="1" thickBot="1" x14ac:dyDescent="0.25">
      <c r="B3" s="285"/>
      <c r="C3" s="524"/>
      <c r="D3" s="525"/>
      <c r="E3" s="525"/>
      <c r="F3" s="525"/>
      <c r="G3" s="525"/>
      <c r="H3" s="525"/>
      <c r="I3" s="525"/>
      <c r="J3" s="525"/>
      <c r="K3" s="525"/>
      <c r="L3" s="525"/>
      <c r="M3" s="525"/>
      <c r="N3" s="525"/>
      <c r="O3" s="525"/>
      <c r="P3" s="525"/>
      <c r="Q3" s="525"/>
      <c r="R3" s="525"/>
      <c r="S3" s="522" t="str">
        <f>CONCATENATE( Introduction!D3," ",Plage_Cal)</f>
        <v>Mon calendrier 2021</v>
      </c>
      <c r="T3" s="523"/>
      <c r="U3" s="523"/>
      <c r="V3" s="523"/>
      <c r="W3" s="523"/>
      <c r="X3" s="523"/>
      <c r="Y3" s="523"/>
      <c r="Z3" s="523"/>
      <c r="AA3" s="523"/>
      <c r="AB3" s="523"/>
      <c r="AC3" s="523"/>
      <c r="AD3" s="523"/>
      <c r="AE3" s="523"/>
      <c r="AF3" s="523"/>
      <c r="AG3" s="523"/>
      <c r="AH3" s="523"/>
      <c r="AI3" s="523"/>
      <c r="AJ3" s="523"/>
      <c r="AK3" s="320"/>
      <c r="AL3" s="286"/>
    </row>
    <row r="4" spans="2:38" x14ac:dyDescent="0.2">
      <c r="B4" s="285"/>
      <c r="C4" s="287"/>
      <c r="D4" s="38" t="str">
        <f ca="1">CONCATENATE("© Jean-Jacques Rey"," — ",MID(CELL("filename",B2),FIND("[",CELL("filename",B2))+1,SUM(FIND({"[";"]"},CELL("filename",B2))*{-1;1})-6))</f>
        <v>© Jean-Jacques Rey — My e-Calendar v2.6 public</v>
      </c>
      <c r="E4" s="287"/>
      <c r="F4" s="287"/>
      <c r="G4" s="287"/>
      <c r="H4" s="287"/>
      <c r="I4" s="287"/>
      <c r="J4" s="314"/>
      <c r="K4" s="287"/>
      <c r="L4" s="287"/>
      <c r="M4" s="287"/>
      <c r="N4" s="287"/>
      <c r="O4" s="287"/>
      <c r="P4" s="287"/>
      <c r="Q4" s="287"/>
      <c r="R4" s="287"/>
      <c r="S4" s="314"/>
      <c r="T4" s="287"/>
      <c r="U4" s="287"/>
      <c r="V4" s="287"/>
      <c r="W4" s="287"/>
      <c r="X4" s="287"/>
      <c r="Y4" s="149" t="str">
        <f>IF(Introduction!$D$4="","",Introduction!$D$4)</f>
        <v/>
      </c>
      <c r="Z4" s="287"/>
      <c r="AA4" s="287"/>
      <c r="AB4" s="314"/>
      <c r="AC4" s="287"/>
      <c r="AD4" s="287"/>
      <c r="AE4" s="287"/>
      <c r="AF4" s="287"/>
      <c r="AG4" s="287"/>
      <c r="AH4" s="287"/>
      <c r="AI4" s="287"/>
      <c r="AJ4" s="287"/>
      <c r="AK4" s="314"/>
      <c r="AL4" s="286"/>
    </row>
    <row r="5" spans="2:38" s="301" customFormat="1" ht="29" customHeight="1" thickBot="1" x14ac:dyDescent="0.25">
      <c r="B5" s="298"/>
      <c r="C5" s="526" t="str">
        <f>IF(Calculs!$C$90&lt;&gt;Calculs!$C$91,UPPER(TEXT(I8,"mmmm aaaa")),UPPER(TEXT(I8,"mmmm")))</f>
        <v>JANVIER</v>
      </c>
      <c r="D5" s="527"/>
      <c r="E5" s="527"/>
      <c r="F5" s="527"/>
      <c r="G5" s="527"/>
      <c r="H5" s="527"/>
      <c r="I5" s="527"/>
      <c r="J5" s="528"/>
      <c r="K5" s="299"/>
      <c r="L5" s="526" t="str">
        <f>IF(Calculs!$C$90&lt;&gt;Calculs!$C$91,UPPER(TEXT(R8,"mmmm aaaa")),UPPER(TEXT(R8,"mmmm")))</f>
        <v>FÉVRIER</v>
      </c>
      <c r="M5" s="527"/>
      <c r="N5" s="527"/>
      <c r="O5" s="527"/>
      <c r="P5" s="527"/>
      <c r="Q5" s="527"/>
      <c r="R5" s="527"/>
      <c r="S5" s="528"/>
      <c r="T5" s="299"/>
      <c r="U5" s="526" t="str">
        <f>IF(Calculs!$C$90&lt;&gt;Calculs!$C$91,UPPER(TEXT(AA8,"mmmm aaaa")),UPPER(TEXT(AA8,"mmmm")))</f>
        <v>MARS</v>
      </c>
      <c r="V5" s="527"/>
      <c r="W5" s="527"/>
      <c r="X5" s="527"/>
      <c r="Y5" s="527"/>
      <c r="Z5" s="527"/>
      <c r="AA5" s="527"/>
      <c r="AB5" s="528"/>
      <c r="AC5" s="299"/>
      <c r="AD5" s="526" t="str">
        <f>IF(Calculs!$C$90&lt;&gt;Calculs!$C$91,UPPER(TEXT(AJ8,"mmmm aaaa")),UPPER(TEXT(AJ8,"mmmm")))</f>
        <v>AVRIL</v>
      </c>
      <c r="AE5" s="527"/>
      <c r="AF5" s="527"/>
      <c r="AG5" s="527"/>
      <c r="AH5" s="527"/>
      <c r="AI5" s="527"/>
      <c r="AJ5" s="527"/>
      <c r="AK5" s="528"/>
      <c r="AL5" s="300"/>
    </row>
    <row r="6" spans="2:38" ht="6" customHeight="1" x14ac:dyDescent="0.2">
      <c r="B6" s="285"/>
      <c r="C6" s="293"/>
      <c r="D6" s="293"/>
      <c r="E6" s="293"/>
      <c r="F6" s="293"/>
      <c r="G6" s="293"/>
      <c r="H6" s="293"/>
      <c r="I6" s="293"/>
      <c r="J6" s="315"/>
      <c r="K6" s="291"/>
      <c r="L6" s="292"/>
      <c r="M6" s="292"/>
      <c r="N6" s="292"/>
      <c r="O6" s="292"/>
      <c r="P6" s="292"/>
      <c r="Q6" s="292"/>
      <c r="R6" s="292"/>
      <c r="S6" s="317"/>
      <c r="T6" s="291"/>
      <c r="U6" s="292"/>
      <c r="V6" s="292"/>
      <c r="W6" s="292"/>
      <c r="X6" s="292"/>
      <c r="Y6" s="292"/>
      <c r="Z6" s="292"/>
      <c r="AA6" s="292"/>
      <c r="AB6" s="317"/>
      <c r="AC6" s="291"/>
      <c r="AD6" s="292"/>
      <c r="AE6" s="292"/>
      <c r="AF6" s="292"/>
      <c r="AG6" s="292"/>
      <c r="AH6" s="292"/>
      <c r="AI6" s="292"/>
      <c r="AJ6" s="292"/>
      <c r="AK6" s="317"/>
      <c r="AL6" s="286"/>
    </row>
    <row r="7" spans="2:38" ht="18" customHeight="1" x14ac:dyDescent="0.2">
      <c r="B7" s="285"/>
      <c r="C7" s="324" t="s">
        <v>15</v>
      </c>
      <c r="D7" s="325" t="s">
        <v>16</v>
      </c>
      <c r="E7" s="325" t="s">
        <v>17</v>
      </c>
      <c r="F7" s="325" t="s">
        <v>18</v>
      </c>
      <c r="G7" s="325" t="s">
        <v>19</v>
      </c>
      <c r="H7" s="325" t="s">
        <v>20</v>
      </c>
      <c r="I7" s="325" t="s">
        <v>21</v>
      </c>
      <c r="J7" s="326"/>
      <c r="K7" s="293"/>
      <c r="L7" s="324" t="s">
        <v>15</v>
      </c>
      <c r="M7" s="325" t="s">
        <v>16</v>
      </c>
      <c r="N7" s="325" t="s">
        <v>17</v>
      </c>
      <c r="O7" s="325" t="s">
        <v>18</v>
      </c>
      <c r="P7" s="325" t="s">
        <v>19</v>
      </c>
      <c r="Q7" s="325" t="s">
        <v>20</v>
      </c>
      <c r="R7" s="325" t="s">
        <v>21</v>
      </c>
      <c r="S7" s="326"/>
      <c r="T7" s="293"/>
      <c r="U7" s="324" t="s">
        <v>15</v>
      </c>
      <c r="V7" s="325" t="s">
        <v>16</v>
      </c>
      <c r="W7" s="325" t="s">
        <v>17</v>
      </c>
      <c r="X7" s="325" t="s">
        <v>18</v>
      </c>
      <c r="Y7" s="325" t="s">
        <v>19</v>
      </c>
      <c r="Z7" s="325" t="s">
        <v>20</v>
      </c>
      <c r="AA7" s="325" t="s">
        <v>21</v>
      </c>
      <c r="AB7" s="326"/>
      <c r="AC7" s="293"/>
      <c r="AD7" s="324" t="s">
        <v>15</v>
      </c>
      <c r="AE7" s="325" t="s">
        <v>16</v>
      </c>
      <c r="AF7" s="325" t="s">
        <v>17</v>
      </c>
      <c r="AG7" s="325" t="s">
        <v>18</v>
      </c>
      <c r="AH7" s="325" t="s">
        <v>19</v>
      </c>
      <c r="AI7" s="325" t="s">
        <v>20</v>
      </c>
      <c r="AJ7" s="325" t="s">
        <v>21</v>
      </c>
      <c r="AK7" s="326"/>
      <c r="AL7" s="286"/>
    </row>
    <row r="8" spans="2:38" s="306" customFormat="1" ht="25" customHeight="1" x14ac:dyDescent="0.15">
      <c r="B8" s="303"/>
      <c r="C8" s="307" t="str">
        <f>IF(MONTH(I8-6)&lt;&gt;MONTH(I8),"",I8-6)</f>
        <v/>
      </c>
      <c r="D8" s="308" t="str">
        <f>IF(MONTH(I8-5)&lt;&gt;MONTH(I8),"",I8-5)</f>
        <v/>
      </c>
      <c r="E8" s="308" t="str">
        <f>IF(MONTH(I8-4)&lt;&gt;MONTH(I8),"",I8-4)</f>
        <v/>
      </c>
      <c r="F8" s="308" t="str">
        <f>IF(MONTH(I8-3)&lt;&gt;MONTH(I8),"",I8-3)</f>
        <v/>
      </c>
      <c r="G8" s="308">
        <f>IF(MONTH(I8-2)&lt;&gt;MONTH(I8),"",I8-2)</f>
        <v>44197</v>
      </c>
      <c r="H8" s="308">
        <f>IF(MONTH(I8-1)&lt;&gt;MONTH(I8),"",I8-1)</f>
        <v>44198</v>
      </c>
      <c r="I8" s="308">
        <f>DATE(Ref_Annee,Ref_Mois,1)+7-WEEKDAY(DATE(Ref_Annee,Ref_Mois,1)-1)</f>
        <v>44199</v>
      </c>
      <c r="J8" s="321">
        <f>IF(I8="","",INT((9+I8-MOD(I8-2,7)-DATE(YEAR(3+I8-MOD(I8-2,7)),1,))/7))</f>
        <v>53</v>
      </c>
      <c r="K8" s="304"/>
      <c r="L8" s="307">
        <f>IF(MONTH(R8-6)&lt;&gt;MONTH(R8),"",R8-6)</f>
        <v>44228</v>
      </c>
      <c r="M8" s="308">
        <f>IF(MONTH(R8-5)&lt;&gt;MONTH(R8),"",R8-5)</f>
        <v>44229</v>
      </c>
      <c r="N8" s="308">
        <f>IF(MONTH(R8-4)&lt;&gt;MONTH(R8),"",R8-4)</f>
        <v>44230</v>
      </c>
      <c r="O8" s="308">
        <f>IF(MONTH(R8-3)&lt;&gt;MONTH(R8),"",R8-3)</f>
        <v>44231</v>
      </c>
      <c r="P8" s="308">
        <f>IF(MONTH(R8-2)&lt;&gt;MONTH(R8),"",R8-2)</f>
        <v>44232</v>
      </c>
      <c r="Q8" s="308">
        <f>IF(MONTH(R8-1)&lt;&gt;MONTH(R8),"",R8-1)</f>
        <v>44233</v>
      </c>
      <c r="R8" s="308">
        <f>DATE(YEAR(I8),MONTH(I8)+1,1)+7-WEEKDAY(DATE(YEAR(I8),MONTH(I8)+1,1)-1)</f>
        <v>44234</v>
      </c>
      <c r="S8" s="321">
        <f>IF(R8="","",INT((9+R8-MOD(R8-2,7)-DATE(YEAR(3+R8-MOD(R8-2,7)),1,))/7))</f>
        <v>5</v>
      </c>
      <c r="T8" s="304"/>
      <c r="U8" s="307">
        <f>IF(MONTH(AA8-6)&lt;&gt;MONTH(AA8),"",AA8-6)</f>
        <v>44256</v>
      </c>
      <c r="V8" s="308">
        <f>IF(MONTH(AA8-5)&lt;&gt;MONTH(AA8),"",AA8-5)</f>
        <v>44257</v>
      </c>
      <c r="W8" s="308">
        <f>IF(MONTH(AA8-4)&lt;&gt;MONTH(AA8),"",AA8-4)</f>
        <v>44258</v>
      </c>
      <c r="X8" s="308">
        <f>IF(MONTH(AA8-3)&lt;&gt;MONTH(AA8),"",AA8-3)</f>
        <v>44259</v>
      </c>
      <c r="Y8" s="308">
        <f>IF(MONTH(AA8-2)&lt;&gt;MONTH(AA8),"",AA8-2)</f>
        <v>44260</v>
      </c>
      <c r="Z8" s="308">
        <f>IF(MONTH(AA8-1)&lt;&gt;MONTH(AA8),"",AA8-1)</f>
        <v>44261</v>
      </c>
      <c r="AA8" s="308">
        <f>DATE(YEAR(R8),MONTH(R8)+1,1)+7-WEEKDAY(DATE(YEAR(R8),MONTH(R8)+1,1)-1)</f>
        <v>44262</v>
      </c>
      <c r="AB8" s="321">
        <f>IF(AA8="","",INT((9+AA8-MOD(AA8-2,7)-DATE(YEAR(3+AA8-MOD(AA8-2,7)),1,))/7))</f>
        <v>9</v>
      </c>
      <c r="AC8" s="304"/>
      <c r="AD8" s="307" t="str">
        <f>IF(MONTH(AJ8-6)&lt;&gt;MONTH(AJ8),"",AJ8-6)</f>
        <v/>
      </c>
      <c r="AE8" s="308" t="str">
        <f>IF(MONTH(AJ8-5)&lt;&gt;MONTH(AJ8),"",AJ8-5)</f>
        <v/>
      </c>
      <c r="AF8" s="308" t="str">
        <f>IF(MONTH(AJ8-4)&lt;&gt;MONTH(AJ8),"",AJ8-4)</f>
        <v/>
      </c>
      <c r="AG8" s="308">
        <f>IF(MONTH(AJ8-3)&lt;&gt;MONTH(AJ8),"",AJ8-3)</f>
        <v>44287</v>
      </c>
      <c r="AH8" s="308">
        <f>IF(MONTH(AJ8-2)&lt;&gt;MONTH(AJ8),"",AJ8-2)</f>
        <v>44288</v>
      </c>
      <c r="AI8" s="308">
        <f>IF(MONTH(AJ8-1)&lt;&gt;MONTH(AJ8),"",AJ8-1)</f>
        <v>44289</v>
      </c>
      <c r="AJ8" s="308">
        <f>DATE(YEAR(AA8),MONTH(AA8)+1,1)+7-WEEKDAY(DATE(YEAR(AA8),MONTH(AA8)+1,1)-1)</f>
        <v>44290</v>
      </c>
      <c r="AK8" s="321">
        <f>IF(AJ8="","",INT((9+AJ8-MOD(AJ8-2,7)-DATE(YEAR(3+AJ8-MOD(AJ8-2,7)),1,))/7))</f>
        <v>13</v>
      </c>
      <c r="AL8" s="305"/>
    </row>
    <row r="9" spans="2:38" s="306" customFormat="1" ht="25" customHeight="1" x14ac:dyDescent="0.15">
      <c r="B9" s="303"/>
      <c r="C9" s="309">
        <f t="shared" ref="C9:H9" si="0">D9-1</f>
        <v>44200</v>
      </c>
      <c r="D9" s="310">
        <f t="shared" si="0"/>
        <v>44201</v>
      </c>
      <c r="E9" s="310">
        <f t="shared" si="0"/>
        <v>44202</v>
      </c>
      <c r="F9" s="310">
        <f t="shared" si="0"/>
        <v>44203</v>
      </c>
      <c r="G9" s="310">
        <f t="shared" si="0"/>
        <v>44204</v>
      </c>
      <c r="H9" s="310">
        <f t="shared" si="0"/>
        <v>44205</v>
      </c>
      <c r="I9" s="310">
        <f>I8+7</f>
        <v>44206</v>
      </c>
      <c r="J9" s="322">
        <f>IF(C9="","",INT((9+C9-MOD(C9-2,7)-DATE(YEAR(3+C9-MOD(C9-2,7)),1,))/7))</f>
        <v>1</v>
      </c>
      <c r="K9" s="304"/>
      <c r="L9" s="309">
        <f t="shared" ref="L9:L11" si="1">M9-1</f>
        <v>44235</v>
      </c>
      <c r="M9" s="310">
        <f t="shared" ref="M9:M11" si="2">N9-1</f>
        <v>44236</v>
      </c>
      <c r="N9" s="310">
        <f t="shared" ref="N9:N11" si="3">O9-1</f>
        <v>44237</v>
      </c>
      <c r="O9" s="310">
        <f t="shared" ref="O9:O11" si="4">P9-1</f>
        <v>44238</v>
      </c>
      <c r="P9" s="310">
        <f t="shared" ref="P9:P11" si="5">Q9-1</f>
        <v>44239</v>
      </c>
      <c r="Q9" s="310">
        <f t="shared" ref="Q9:Q11" si="6">R9-1</f>
        <v>44240</v>
      </c>
      <c r="R9" s="310">
        <f>R8+7</f>
        <v>44241</v>
      </c>
      <c r="S9" s="322">
        <f>IF(L9="","",INT((9+L9-MOD(L9-2,7)-DATE(YEAR(3+L9-MOD(L9-2,7)),1,))/7))</f>
        <v>6</v>
      </c>
      <c r="T9" s="304"/>
      <c r="U9" s="309">
        <f t="shared" ref="U9:U11" si="7">V9-1</f>
        <v>44263</v>
      </c>
      <c r="V9" s="310">
        <f t="shared" ref="V9:V11" si="8">W9-1</f>
        <v>44264</v>
      </c>
      <c r="W9" s="310">
        <f t="shared" ref="W9:W11" si="9">X9-1</f>
        <v>44265</v>
      </c>
      <c r="X9" s="310">
        <f t="shared" ref="X9:X11" si="10">Y9-1</f>
        <v>44266</v>
      </c>
      <c r="Y9" s="310">
        <f t="shared" ref="Y9:Y11" si="11">Z9-1</f>
        <v>44267</v>
      </c>
      <c r="Z9" s="310">
        <f t="shared" ref="Z9:Z11" si="12">AA9-1</f>
        <v>44268</v>
      </c>
      <c r="AA9" s="310">
        <f>AA8+7</f>
        <v>44269</v>
      </c>
      <c r="AB9" s="322">
        <f>IF(U9="","",INT((9+U9-MOD(U9-2,7)-DATE(YEAR(3+U9-MOD(U9-2,7)),1,))/7))</f>
        <v>10</v>
      </c>
      <c r="AC9" s="304"/>
      <c r="AD9" s="309">
        <f t="shared" ref="AD9:AD11" si="13">AE9-1</f>
        <v>44291</v>
      </c>
      <c r="AE9" s="310">
        <f t="shared" ref="AE9:AE11" si="14">AF9-1</f>
        <v>44292</v>
      </c>
      <c r="AF9" s="310">
        <f t="shared" ref="AF9:AF11" si="15">AG9-1</f>
        <v>44293</v>
      </c>
      <c r="AG9" s="310">
        <f t="shared" ref="AG9:AG11" si="16">AH9-1</f>
        <v>44294</v>
      </c>
      <c r="AH9" s="310">
        <f t="shared" ref="AH9:AH11" si="17">AI9-1</f>
        <v>44295</v>
      </c>
      <c r="AI9" s="310">
        <f t="shared" ref="AI9:AI11" si="18">AJ9-1</f>
        <v>44296</v>
      </c>
      <c r="AJ9" s="310">
        <f>AJ8+7</f>
        <v>44297</v>
      </c>
      <c r="AK9" s="322">
        <f>IF(AD9="","",INT((9+AD9-MOD(AD9-2,7)-DATE(YEAR(3+AD9-MOD(AD9-2,7)),1,))/7))</f>
        <v>14</v>
      </c>
      <c r="AL9" s="305"/>
    </row>
    <row r="10" spans="2:38" s="306" customFormat="1" ht="25" customHeight="1" x14ac:dyDescent="0.15">
      <c r="B10" s="303"/>
      <c r="C10" s="309">
        <f t="shared" ref="C10:H10" si="19">D10-1</f>
        <v>44207</v>
      </c>
      <c r="D10" s="310">
        <f t="shared" si="19"/>
        <v>44208</v>
      </c>
      <c r="E10" s="310">
        <f t="shared" si="19"/>
        <v>44209</v>
      </c>
      <c r="F10" s="310">
        <f t="shared" si="19"/>
        <v>44210</v>
      </c>
      <c r="G10" s="310">
        <f t="shared" si="19"/>
        <v>44211</v>
      </c>
      <c r="H10" s="310">
        <f t="shared" si="19"/>
        <v>44212</v>
      </c>
      <c r="I10" s="310">
        <f t="shared" ref="I10:I11" si="20">I9+7</f>
        <v>44213</v>
      </c>
      <c r="J10" s="322">
        <f>IF(C10="","",INT((9+C10-MOD(C10-2,7)-DATE(YEAR(3+C10-MOD(C10-2,7)),1,))/7))</f>
        <v>2</v>
      </c>
      <c r="K10" s="304"/>
      <c r="L10" s="309">
        <f t="shared" si="1"/>
        <v>44242</v>
      </c>
      <c r="M10" s="310">
        <f t="shared" si="2"/>
        <v>44243</v>
      </c>
      <c r="N10" s="310">
        <f t="shared" si="3"/>
        <v>44244</v>
      </c>
      <c r="O10" s="310">
        <f t="shared" si="4"/>
        <v>44245</v>
      </c>
      <c r="P10" s="310">
        <f t="shared" si="5"/>
        <v>44246</v>
      </c>
      <c r="Q10" s="310">
        <f t="shared" si="6"/>
        <v>44247</v>
      </c>
      <c r="R10" s="310">
        <f t="shared" ref="R10:R11" si="21">R9+7</f>
        <v>44248</v>
      </c>
      <c r="S10" s="322">
        <f>IF(L10="","",INT((9+L10-MOD(L10-2,7)-DATE(YEAR(3+L10-MOD(L10-2,7)),1,))/7))</f>
        <v>7</v>
      </c>
      <c r="T10" s="304"/>
      <c r="U10" s="309">
        <f t="shared" si="7"/>
        <v>44270</v>
      </c>
      <c r="V10" s="310">
        <f t="shared" si="8"/>
        <v>44271</v>
      </c>
      <c r="W10" s="310">
        <f t="shared" si="9"/>
        <v>44272</v>
      </c>
      <c r="X10" s="310">
        <f t="shared" si="10"/>
        <v>44273</v>
      </c>
      <c r="Y10" s="310">
        <f t="shared" si="11"/>
        <v>44274</v>
      </c>
      <c r="Z10" s="310">
        <f t="shared" si="12"/>
        <v>44275</v>
      </c>
      <c r="AA10" s="310">
        <f t="shared" ref="AA10:AA11" si="22">AA9+7</f>
        <v>44276</v>
      </c>
      <c r="AB10" s="322">
        <f>IF(U10="","",INT((9+U10-MOD(U10-2,7)-DATE(YEAR(3+U10-MOD(U10-2,7)),1,))/7))</f>
        <v>11</v>
      </c>
      <c r="AC10" s="304"/>
      <c r="AD10" s="309">
        <f t="shared" si="13"/>
        <v>44298</v>
      </c>
      <c r="AE10" s="310">
        <f t="shared" si="14"/>
        <v>44299</v>
      </c>
      <c r="AF10" s="310">
        <f t="shared" si="15"/>
        <v>44300</v>
      </c>
      <c r="AG10" s="310">
        <f t="shared" si="16"/>
        <v>44301</v>
      </c>
      <c r="AH10" s="310">
        <f t="shared" si="17"/>
        <v>44302</v>
      </c>
      <c r="AI10" s="310">
        <f t="shared" si="18"/>
        <v>44303</v>
      </c>
      <c r="AJ10" s="310">
        <f t="shared" ref="AJ10:AJ11" si="23">AJ9+7</f>
        <v>44304</v>
      </c>
      <c r="AK10" s="322">
        <f>IF(AD10="","",INT((9+AD10-MOD(AD10-2,7)-DATE(YEAR(3+AD10-MOD(AD10-2,7)),1,))/7))</f>
        <v>15</v>
      </c>
      <c r="AL10" s="305"/>
    </row>
    <row r="11" spans="2:38" s="306" customFormat="1" ht="25" customHeight="1" x14ac:dyDescent="0.15">
      <c r="B11" s="303"/>
      <c r="C11" s="309">
        <f t="shared" ref="C11:H11" si="24">D11-1</f>
        <v>44214</v>
      </c>
      <c r="D11" s="310">
        <f t="shared" si="24"/>
        <v>44215</v>
      </c>
      <c r="E11" s="310">
        <f t="shared" si="24"/>
        <v>44216</v>
      </c>
      <c r="F11" s="310">
        <f t="shared" si="24"/>
        <v>44217</v>
      </c>
      <c r="G11" s="310">
        <f t="shared" si="24"/>
        <v>44218</v>
      </c>
      <c r="H11" s="310">
        <f t="shared" si="24"/>
        <v>44219</v>
      </c>
      <c r="I11" s="310">
        <f t="shared" si="20"/>
        <v>44220</v>
      </c>
      <c r="J11" s="322">
        <f>IF(C11="","",INT((9+C11-MOD(C11-2,7)-DATE(YEAR(3+C11-MOD(C11-2,7)),1,))/7))</f>
        <v>3</v>
      </c>
      <c r="K11" s="304"/>
      <c r="L11" s="309">
        <f t="shared" si="1"/>
        <v>44249</v>
      </c>
      <c r="M11" s="310">
        <f t="shared" si="2"/>
        <v>44250</v>
      </c>
      <c r="N11" s="310">
        <f t="shared" si="3"/>
        <v>44251</v>
      </c>
      <c r="O11" s="310">
        <f t="shared" si="4"/>
        <v>44252</v>
      </c>
      <c r="P11" s="310">
        <f t="shared" si="5"/>
        <v>44253</v>
      </c>
      <c r="Q11" s="310">
        <f t="shared" si="6"/>
        <v>44254</v>
      </c>
      <c r="R11" s="310">
        <f t="shared" si="21"/>
        <v>44255</v>
      </c>
      <c r="S11" s="322">
        <f>IF(L11="","",INT((9+L11-MOD(L11-2,7)-DATE(YEAR(3+L11-MOD(L11-2,7)),1,))/7))</f>
        <v>8</v>
      </c>
      <c r="T11" s="304"/>
      <c r="U11" s="309">
        <f t="shared" si="7"/>
        <v>44277</v>
      </c>
      <c r="V11" s="310">
        <f t="shared" si="8"/>
        <v>44278</v>
      </c>
      <c r="W11" s="310">
        <f t="shared" si="9"/>
        <v>44279</v>
      </c>
      <c r="X11" s="310">
        <f t="shared" si="10"/>
        <v>44280</v>
      </c>
      <c r="Y11" s="310">
        <f t="shared" si="11"/>
        <v>44281</v>
      </c>
      <c r="Z11" s="310">
        <f t="shared" si="12"/>
        <v>44282</v>
      </c>
      <c r="AA11" s="310">
        <f t="shared" si="22"/>
        <v>44283</v>
      </c>
      <c r="AB11" s="322">
        <f>IF(U11="","",INT((9+U11-MOD(U11-2,7)-DATE(YEAR(3+U11-MOD(U11-2,7)),1,))/7))</f>
        <v>12</v>
      </c>
      <c r="AC11" s="304"/>
      <c r="AD11" s="309">
        <f t="shared" si="13"/>
        <v>44305</v>
      </c>
      <c r="AE11" s="310">
        <f t="shared" si="14"/>
        <v>44306</v>
      </c>
      <c r="AF11" s="310">
        <f t="shared" si="15"/>
        <v>44307</v>
      </c>
      <c r="AG11" s="310">
        <f t="shared" si="16"/>
        <v>44308</v>
      </c>
      <c r="AH11" s="310">
        <f t="shared" si="17"/>
        <v>44309</v>
      </c>
      <c r="AI11" s="310">
        <f t="shared" si="18"/>
        <v>44310</v>
      </c>
      <c r="AJ11" s="310">
        <f t="shared" si="23"/>
        <v>44311</v>
      </c>
      <c r="AK11" s="322">
        <f>IF(AD11="","",INT((9+AD11-MOD(AD11-2,7)-DATE(YEAR(3+AD11-MOD(AD11-2,7)),1,))/7))</f>
        <v>16</v>
      </c>
      <c r="AL11" s="305"/>
    </row>
    <row r="12" spans="2:38" s="306" customFormat="1" ht="25" customHeight="1" x14ac:dyDescent="0.15">
      <c r="B12" s="303"/>
      <c r="C12" s="309">
        <f>IF(MONTH(I11+1)&lt;&gt;MONTH(I8),"",I11+1)</f>
        <v>44221</v>
      </c>
      <c r="D12" s="310">
        <f>IF(MONTH(I11+2)&lt;&gt;MONTH(I8),"",I11+2)</f>
        <v>44222</v>
      </c>
      <c r="E12" s="310">
        <f>IF(MONTH(I11+3)&lt;&gt;MONTH(I8),"",I11+3)</f>
        <v>44223</v>
      </c>
      <c r="F12" s="310">
        <f>IF(MONTH(I11+4)&lt;&gt;MONTH(I8),"",I11+4)</f>
        <v>44224</v>
      </c>
      <c r="G12" s="310">
        <f>IF(MONTH(I11+5)&lt;&gt;MONTH(I8),"",I11+5)</f>
        <v>44225</v>
      </c>
      <c r="H12" s="310">
        <f>IF(MONTH(I11+6)&lt;&gt;MONTH(I8),"",I11+6)</f>
        <v>44226</v>
      </c>
      <c r="I12" s="310">
        <f>IF(MONTH(I11+7)&lt;&gt;MONTH(I8),"",I11+7)</f>
        <v>44227</v>
      </c>
      <c r="J12" s="322">
        <f>IF(C12="","",INT((9+C12-MOD(C12-2,7)-DATE(YEAR(3+C12-MOD(C12-2,7)),1,))/7))</f>
        <v>4</v>
      </c>
      <c r="K12" s="304"/>
      <c r="L12" s="309" t="str">
        <f>IF(MONTH(R11+1)&lt;&gt;MONTH(R8),"",R11+1)</f>
        <v/>
      </c>
      <c r="M12" s="310" t="str">
        <f>IF(MONTH(R11+2)&lt;&gt;MONTH(R8),"",R11+2)</f>
        <v/>
      </c>
      <c r="N12" s="310" t="str">
        <f>IF(MONTH(R11+3)&lt;&gt;MONTH(R8),"",R11+3)</f>
        <v/>
      </c>
      <c r="O12" s="310" t="str">
        <f>IF(MONTH(R11+4)&lt;&gt;MONTH(R8),"",R11+4)</f>
        <v/>
      </c>
      <c r="P12" s="310" t="str">
        <f>IF(MONTH(R11+5)&lt;&gt;MONTH(R8),"",R11+5)</f>
        <v/>
      </c>
      <c r="Q12" s="310" t="str">
        <f>IF(MONTH(R11+6)&lt;&gt;MONTH(R8),"",R11+6)</f>
        <v/>
      </c>
      <c r="R12" s="310" t="str">
        <f>IF(MONTH(R11+7)&lt;&gt;MONTH(R8),"",R11+7)</f>
        <v/>
      </c>
      <c r="S12" s="322" t="str">
        <f>IF(L12="","",INT((9+L12-MOD(L12-2,7)-DATE(YEAR(3+L12-MOD(L12-2,7)),1,))/7))</f>
        <v/>
      </c>
      <c r="T12" s="304"/>
      <c r="U12" s="309">
        <f>IF(MONTH(AA11+1)&lt;&gt;MONTH(AA8),"",AA11+1)</f>
        <v>44284</v>
      </c>
      <c r="V12" s="310">
        <f>IF(MONTH(AA11+2)&lt;&gt;MONTH(AA8),"",AA11+2)</f>
        <v>44285</v>
      </c>
      <c r="W12" s="310">
        <f>IF(MONTH(AA11+3)&lt;&gt;MONTH(AA8),"",AA11+3)</f>
        <v>44286</v>
      </c>
      <c r="X12" s="310" t="str">
        <f>IF(MONTH(AA11+4)&lt;&gt;MONTH(AA8),"",AA11+4)</f>
        <v/>
      </c>
      <c r="Y12" s="310" t="str">
        <f>IF(MONTH(AA11+5)&lt;&gt;MONTH(AA8),"",AA11+5)</f>
        <v/>
      </c>
      <c r="Z12" s="310" t="str">
        <f>IF(MONTH(AA11+6)&lt;&gt;MONTH(AA8),"",AA11+6)</f>
        <v/>
      </c>
      <c r="AA12" s="310" t="str">
        <f>IF(MONTH(AA11+7)&lt;&gt;MONTH(AA8),"",AA11+7)</f>
        <v/>
      </c>
      <c r="AB12" s="322">
        <f>IF(U12="","",INT((9+U12-MOD(U12-2,7)-DATE(YEAR(3+U12-MOD(U12-2,7)),1,))/7))</f>
        <v>13</v>
      </c>
      <c r="AC12" s="304"/>
      <c r="AD12" s="309">
        <f>IF(MONTH(AJ11+1)&lt;&gt;MONTH(AJ8),"",AJ11+1)</f>
        <v>44312</v>
      </c>
      <c r="AE12" s="310">
        <f>IF(MONTH(AJ11+2)&lt;&gt;MONTH(AJ8),"",AJ11+2)</f>
        <v>44313</v>
      </c>
      <c r="AF12" s="310">
        <f>IF(MONTH(AJ11+3)&lt;&gt;MONTH(AJ8),"",AJ11+3)</f>
        <v>44314</v>
      </c>
      <c r="AG12" s="310">
        <f>IF(MONTH(AJ11+4)&lt;&gt;MONTH(AJ8),"",AJ11+4)</f>
        <v>44315</v>
      </c>
      <c r="AH12" s="310">
        <f>IF(MONTH(AJ11+5)&lt;&gt;MONTH(AJ8),"",AJ11+5)</f>
        <v>44316</v>
      </c>
      <c r="AI12" s="310" t="str">
        <f>IF(MONTH(AJ11+6)&lt;&gt;MONTH(AJ8),"",AJ11+6)</f>
        <v/>
      </c>
      <c r="AJ12" s="310" t="str">
        <f>IF(MONTH(AJ11+7)&lt;&gt;MONTH(AJ8),"",AJ11+7)</f>
        <v/>
      </c>
      <c r="AK12" s="322">
        <f>IF(AD12="","",INT((9+AD12-MOD(AD12-2,7)-DATE(YEAR(3+AD12-MOD(AD12-2,7)),1,))/7))</f>
        <v>17</v>
      </c>
      <c r="AL12" s="305"/>
    </row>
    <row r="13" spans="2:38" s="306" customFormat="1" ht="25" customHeight="1" thickBot="1" x14ac:dyDescent="0.2">
      <c r="B13" s="303"/>
      <c r="C13" s="311" t="str">
        <f>IF(MONTH(I11+8)&lt;&gt;MONTH(I8),"",I11+8)</f>
        <v/>
      </c>
      <c r="D13" s="312" t="str">
        <f>IF(MONTH(I11+9)&lt;&gt;MONTH(I8),"",I11+9)</f>
        <v/>
      </c>
      <c r="E13" s="312" t="str">
        <f>IF(MONTH(I11+10)&lt;&gt;MONTH(I8),"",I11+10)</f>
        <v/>
      </c>
      <c r="F13" s="312" t="str">
        <f>IF(MONTH(I11+11)&lt;&gt;MONTH(I8),"",I11+11)</f>
        <v/>
      </c>
      <c r="G13" s="312" t="str">
        <f>IF(MONTH(I11+12)&lt;&gt;MONTH(I8),"",I11+12)</f>
        <v/>
      </c>
      <c r="H13" s="312" t="str">
        <f>IF(MONTH(I11+13)&lt;&gt;MONTH(I8),"",I11+13)</f>
        <v/>
      </c>
      <c r="I13" s="312" t="str">
        <f>IF(MONTH(I11+14)&lt;&gt;MONTH(I8),"",I11+14)</f>
        <v/>
      </c>
      <c r="J13" s="323" t="str">
        <f>IF(C13="","",INT((9+C13-MOD(C13-2,7)-DATE(YEAR(3+C13-MOD(C13-2,7)),1,))/7))</f>
        <v/>
      </c>
      <c r="K13" s="304"/>
      <c r="L13" s="311" t="str">
        <f>IF(MONTH(R11+8)&lt;&gt;MONTH(R8),"",R11+8)</f>
        <v/>
      </c>
      <c r="M13" s="312" t="str">
        <f>IF(MONTH(R11+9)&lt;&gt;MONTH(R8),"",R11+9)</f>
        <v/>
      </c>
      <c r="N13" s="312" t="str">
        <f>IF(MONTH(R11+10)&lt;&gt;MONTH(R8),"",R11+10)</f>
        <v/>
      </c>
      <c r="O13" s="312" t="str">
        <f>IF(MONTH(R11+11)&lt;&gt;MONTH(R8),"",R11+11)</f>
        <v/>
      </c>
      <c r="P13" s="312" t="str">
        <f>IF(MONTH(R11+12)&lt;&gt;MONTH(R8),"",R11+12)</f>
        <v/>
      </c>
      <c r="Q13" s="312" t="str">
        <f>IF(MONTH(R11+13)&lt;&gt;MONTH(R8),"",R11+13)</f>
        <v/>
      </c>
      <c r="R13" s="312" t="str">
        <f>IF(MONTH(R11+14)&lt;&gt;MONTH(R8),"",R11+14)</f>
        <v/>
      </c>
      <c r="S13" s="323" t="str">
        <f>IF(L13="","",INT((9+L13-MOD(L13-2,7)-DATE(YEAR(3+L13-MOD(L13-2,7)),1,))/7))</f>
        <v/>
      </c>
      <c r="T13" s="304"/>
      <c r="U13" s="311" t="str">
        <f>IF(MONTH(AA11+8)&lt;&gt;MONTH(AA8),"",AA11+8)</f>
        <v/>
      </c>
      <c r="V13" s="312" t="str">
        <f>IF(MONTH(AA11+9)&lt;&gt;MONTH(AA8),"",AA11+9)</f>
        <v/>
      </c>
      <c r="W13" s="312" t="str">
        <f>IF(MONTH(AA11+10)&lt;&gt;MONTH(AA8),"",AA11+10)</f>
        <v/>
      </c>
      <c r="X13" s="312" t="str">
        <f>IF(MONTH(AA11+11)&lt;&gt;MONTH(AA8),"",AA11+11)</f>
        <v/>
      </c>
      <c r="Y13" s="312" t="str">
        <f>IF(MONTH(AA11+12)&lt;&gt;MONTH(AA8),"",AA11+12)</f>
        <v/>
      </c>
      <c r="Z13" s="312" t="str">
        <f>IF(MONTH(AA11+13)&lt;&gt;MONTH(AA8),"",AA11+13)</f>
        <v/>
      </c>
      <c r="AA13" s="312" t="str">
        <f>IF(MONTH(AA11+14)&lt;&gt;MONTH(AA8),"",AA11+14)</f>
        <v/>
      </c>
      <c r="AB13" s="323" t="str">
        <f>IF(U13="","",INT((9+U13-MOD(U13-2,7)-DATE(YEAR(3+U13-MOD(U13-2,7)),1,))/7))</f>
        <v/>
      </c>
      <c r="AC13" s="304"/>
      <c r="AD13" s="311" t="str">
        <f>IF(MONTH(AJ11+8)&lt;&gt;MONTH(AJ8),"",AJ11+8)</f>
        <v/>
      </c>
      <c r="AE13" s="312" t="str">
        <f>IF(MONTH(AJ11+9)&lt;&gt;MONTH(AJ8),"",AJ11+9)</f>
        <v/>
      </c>
      <c r="AF13" s="312" t="str">
        <f>IF(MONTH(AJ11+10)&lt;&gt;MONTH(AJ8),"",AJ11+10)</f>
        <v/>
      </c>
      <c r="AG13" s="312" t="str">
        <f>IF(MONTH(AJ11+11)&lt;&gt;MONTH(AJ8),"",AJ11+11)</f>
        <v/>
      </c>
      <c r="AH13" s="312" t="str">
        <f>IF(MONTH(AJ11+12)&lt;&gt;MONTH(AJ8),"",AJ11+12)</f>
        <v/>
      </c>
      <c r="AI13" s="312" t="str">
        <f>IF(MONTH(AJ11+13)&lt;&gt;MONTH(AJ8),"",AJ11+13)</f>
        <v/>
      </c>
      <c r="AJ13" s="312" t="str">
        <f>IF(MONTH(AJ11+14)&lt;&gt;MONTH(AJ8),"",AJ11+14)</f>
        <v/>
      </c>
      <c r="AK13" s="323" t="str">
        <f>IF(AD13="","",INT((9+AD13-MOD(AD13-2,7)-DATE(YEAR(3+AD13-MOD(AD13-2,7)),1,))/7))</f>
        <v/>
      </c>
      <c r="AL13" s="305"/>
    </row>
    <row r="14" spans="2:38" x14ac:dyDescent="0.2">
      <c r="B14" s="285"/>
      <c r="C14" s="291"/>
      <c r="D14" s="291"/>
      <c r="E14" s="291"/>
      <c r="F14" s="291"/>
      <c r="G14" s="291"/>
      <c r="H14" s="291"/>
      <c r="I14" s="291"/>
      <c r="J14" s="316"/>
      <c r="K14" s="291"/>
      <c r="L14" s="291"/>
      <c r="M14" s="291"/>
      <c r="N14" s="291"/>
      <c r="O14" s="291"/>
      <c r="P14" s="291"/>
      <c r="Q14" s="291"/>
      <c r="R14" s="291"/>
      <c r="S14" s="316"/>
      <c r="T14" s="291"/>
      <c r="U14" s="291"/>
      <c r="V14" s="291"/>
      <c r="W14" s="291"/>
      <c r="X14" s="291"/>
      <c r="Y14" s="291"/>
      <c r="Z14" s="291"/>
      <c r="AA14" s="291"/>
      <c r="AB14" s="316"/>
      <c r="AC14" s="291"/>
      <c r="AD14" s="291"/>
      <c r="AE14" s="291"/>
      <c r="AF14" s="291"/>
      <c r="AG14" s="291"/>
      <c r="AH14" s="291"/>
      <c r="AI14" s="291"/>
      <c r="AJ14" s="291"/>
      <c r="AK14" s="316"/>
      <c r="AL14" s="286"/>
    </row>
    <row r="15" spans="2:38" s="301" customFormat="1" ht="29" customHeight="1" thickBot="1" x14ac:dyDescent="0.25">
      <c r="B15" s="298"/>
      <c r="C15" s="526" t="str">
        <f>IF(Calculs!$C$90&lt;&gt;Calculs!$C$91,UPPER(TEXT(I18,"mmmm aaaa")),UPPER(TEXT(I18,"mmmm")))</f>
        <v>MAI</v>
      </c>
      <c r="D15" s="527"/>
      <c r="E15" s="527"/>
      <c r="F15" s="527"/>
      <c r="G15" s="527"/>
      <c r="H15" s="527"/>
      <c r="I15" s="527"/>
      <c r="J15" s="528"/>
      <c r="K15" s="299"/>
      <c r="L15" s="526" t="str">
        <f>IF(Calculs!$C$90&lt;&gt;Calculs!$C$91,UPPER(TEXT(R18,"mmmm aaaa")),UPPER(TEXT(R18,"mmmm")))</f>
        <v>JUIN</v>
      </c>
      <c r="M15" s="527"/>
      <c r="N15" s="527"/>
      <c r="O15" s="527"/>
      <c r="P15" s="527"/>
      <c r="Q15" s="527"/>
      <c r="R15" s="527"/>
      <c r="S15" s="528"/>
      <c r="T15" s="299"/>
      <c r="U15" s="526" t="str">
        <f>IF(Calculs!$C$90&lt;&gt;Calculs!$C$91,UPPER(TEXT(AA18,"mmmm aaaa")),UPPER(TEXT(AA18,"mmmm")))</f>
        <v>JUILLET</v>
      </c>
      <c r="V15" s="527"/>
      <c r="W15" s="527"/>
      <c r="X15" s="527"/>
      <c r="Y15" s="527"/>
      <c r="Z15" s="527"/>
      <c r="AA15" s="527"/>
      <c r="AB15" s="528"/>
      <c r="AC15" s="299"/>
      <c r="AD15" s="526" t="str">
        <f>IF(Calculs!$C$90&lt;&gt;Calculs!$C$91,UPPER(TEXT(AJ18,"mmmm aaaa")),UPPER(TEXT(AJ18,"mmmm")))</f>
        <v>AOÛT</v>
      </c>
      <c r="AE15" s="527"/>
      <c r="AF15" s="527"/>
      <c r="AG15" s="527"/>
      <c r="AH15" s="527"/>
      <c r="AI15" s="527"/>
      <c r="AJ15" s="527"/>
      <c r="AK15" s="528"/>
      <c r="AL15" s="300"/>
    </row>
    <row r="16" spans="2:38" ht="6" customHeight="1" x14ac:dyDescent="0.2">
      <c r="B16" s="285"/>
      <c r="C16" s="292"/>
      <c r="D16" s="292"/>
      <c r="E16" s="292"/>
      <c r="F16" s="292"/>
      <c r="G16" s="292"/>
      <c r="H16" s="292"/>
      <c r="I16" s="292"/>
      <c r="J16" s="317"/>
      <c r="K16" s="291"/>
      <c r="L16" s="292"/>
      <c r="M16" s="292"/>
      <c r="N16" s="292"/>
      <c r="O16" s="292"/>
      <c r="P16" s="292"/>
      <c r="Q16" s="292"/>
      <c r="R16" s="292"/>
      <c r="S16" s="317"/>
      <c r="T16" s="291"/>
      <c r="U16" s="292"/>
      <c r="V16" s="292"/>
      <c r="W16" s="292"/>
      <c r="X16" s="292"/>
      <c r="Y16" s="292"/>
      <c r="Z16" s="292"/>
      <c r="AA16" s="292"/>
      <c r="AB16" s="317"/>
      <c r="AC16" s="291"/>
      <c r="AD16" s="292"/>
      <c r="AE16" s="292"/>
      <c r="AF16" s="292"/>
      <c r="AG16" s="292"/>
      <c r="AH16" s="292"/>
      <c r="AI16" s="292"/>
      <c r="AJ16" s="292"/>
      <c r="AK16" s="317"/>
      <c r="AL16" s="286"/>
    </row>
    <row r="17" spans="2:38" s="297" customFormat="1" ht="18" customHeight="1" x14ac:dyDescent="0.2">
      <c r="B17" s="294"/>
      <c r="C17" s="324" t="s">
        <v>15</v>
      </c>
      <c r="D17" s="325" t="s">
        <v>16</v>
      </c>
      <c r="E17" s="325" t="s">
        <v>17</v>
      </c>
      <c r="F17" s="325" t="s">
        <v>18</v>
      </c>
      <c r="G17" s="325" t="s">
        <v>19</v>
      </c>
      <c r="H17" s="325" t="s">
        <v>20</v>
      </c>
      <c r="I17" s="325" t="s">
        <v>21</v>
      </c>
      <c r="J17" s="326"/>
      <c r="K17" s="295"/>
      <c r="L17" s="324" t="s">
        <v>15</v>
      </c>
      <c r="M17" s="325" t="s">
        <v>16</v>
      </c>
      <c r="N17" s="325" t="s">
        <v>17</v>
      </c>
      <c r="O17" s="325" t="s">
        <v>18</v>
      </c>
      <c r="P17" s="325" t="s">
        <v>19</v>
      </c>
      <c r="Q17" s="325" t="s">
        <v>20</v>
      </c>
      <c r="R17" s="325" t="s">
        <v>21</v>
      </c>
      <c r="S17" s="326"/>
      <c r="T17" s="295"/>
      <c r="U17" s="324" t="s">
        <v>15</v>
      </c>
      <c r="V17" s="325" t="s">
        <v>16</v>
      </c>
      <c r="W17" s="325" t="s">
        <v>17</v>
      </c>
      <c r="X17" s="325" t="s">
        <v>18</v>
      </c>
      <c r="Y17" s="325" t="s">
        <v>19</v>
      </c>
      <c r="Z17" s="325" t="s">
        <v>20</v>
      </c>
      <c r="AA17" s="325" t="s">
        <v>21</v>
      </c>
      <c r="AB17" s="326"/>
      <c r="AC17" s="295"/>
      <c r="AD17" s="324" t="s">
        <v>15</v>
      </c>
      <c r="AE17" s="325" t="s">
        <v>16</v>
      </c>
      <c r="AF17" s="325" t="s">
        <v>17</v>
      </c>
      <c r="AG17" s="325" t="s">
        <v>18</v>
      </c>
      <c r="AH17" s="325" t="s">
        <v>19</v>
      </c>
      <c r="AI17" s="325" t="s">
        <v>20</v>
      </c>
      <c r="AJ17" s="325" t="s">
        <v>21</v>
      </c>
      <c r="AK17" s="326"/>
      <c r="AL17" s="296"/>
    </row>
    <row r="18" spans="2:38" s="306" customFormat="1" ht="25" customHeight="1" x14ac:dyDescent="0.15">
      <c r="B18" s="303"/>
      <c r="C18" s="307" t="str">
        <f>IF(MONTH(I18-6)&lt;&gt;MONTH(I18),"",I18-6)</f>
        <v/>
      </c>
      <c r="D18" s="308" t="str">
        <f>IF(MONTH(I18-5)&lt;&gt;MONTH(I18),"",I18-5)</f>
        <v/>
      </c>
      <c r="E18" s="308" t="str">
        <f>IF(MONTH(I18-4)&lt;&gt;MONTH(I18),"",I18-4)</f>
        <v/>
      </c>
      <c r="F18" s="308" t="str">
        <f>IF(MONTH(I18-3)&lt;&gt;MONTH(I18),"",I18-3)</f>
        <v/>
      </c>
      <c r="G18" s="308" t="str">
        <f>IF(MONTH(I18-2)&lt;&gt;MONTH(I18),"",I18-2)</f>
        <v/>
      </c>
      <c r="H18" s="308">
        <f>IF(MONTH(I18-1)&lt;&gt;MONTH(I18),"",I18-1)</f>
        <v>44317</v>
      </c>
      <c r="I18" s="308">
        <f>DATE(YEAR(AJ8),MONTH(AJ8)+1,1)+7-WEEKDAY(DATE(YEAR(AJ8),MONTH(AJ8)+1,1)-1)</f>
        <v>44318</v>
      </c>
      <c r="J18" s="321">
        <f>IF(I18="","",INT((9+I18-MOD(I18-2,7)-DATE(YEAR(3+I18-MOD(I18-2,7)),1,))/7))</f>
        <v>17</v>
      </c>
      <c r="K18" s="304"/>
      <c r="L18" s="307" t="str">
        <f>IF(MONTH(R18-6)&lt;&gt;MONTH(R18),"",R18-6)</f>
        <v/>
      </c>
      <c r="M18" s="308">
        <f>IF(MONTH(R18-5)&lt;&gt;MONTH(R18),"",R18-5)</f>
        <v>44348</v>
      </c>
      <c r="N18" s="308">
        <f>IF(MONTH(R18-4)&lt;&gt;MONTH(R18),"",R18-4)</f>
        <v>44349</v>
      </c>
      <c r="O18" s="308">
        <f>IF(MONTH(R18-3)&lt;&gt;MONTH(R18),"",R18-3)</f>
        <v>44350</v>
      </c>
      <c r="P18" s="308">
        <f>IF(MONTH(R18-2)&lt;&gt;MONTH(R18),"",R18-2)</f>
        <v>44351</v>
      </c>
      <c r="Q18" s="308">
        <f>IF(MONTH(R18-1)&lt;&gt;MONTH(R18),"",R18-1)</f>
        <v>44352</v>
      </c>
      <c r="R18" s="308">
        <f>DATE(YEAR(I18),MONTH(I18)+1,1)+7-WEEKDAY(DATE(YEAR(I18),MONTH(I18)+1,1)-1)</f>
        <v>44353</v>
      </c>
      <c r="S18" s="321">
        <f>IF(R18="","",INT((9+R18-MOD(R18-2,7)-DATE(YEAR(3+R18-MOD(R18-2,7)),1,))/7))</f>
        <v>22</v>
      </c>
      <c r="T18" s="304"/>
      <c r="U18" s="307" t="str">
        <f>IF(MONTH(AA18-6)&lt;&gt;MONTH(AA18),"",AA18-6)</f>
        <v/>
      </c>
      <c r="V18" s="308" t="str">
        <f>IF(MONTH(AA18-5)&lt;&gt;MONTH(AA18),"",AA18-5)</f>
        <v/>
      </c>
      <c r="W18" s="308" t="str">
        <f>IF(MONTH(AA18-4)&lt;&gt;MONTH(AA18),"",AA18-4)</f>
        <v/>
      </c>
      <c r="X18" s="308">
        <f>IF(MONTH(AA18-3)&lt;&gt;MONTH(AA18),"",AA18-3)</f>
        <v>44378</v>
      </c>
      <c r="Y18" s="308">
        <f>IF(MONTH(AA18-2)&lt;&gt;MONTH(AA18),"",AA18-2)</f>
        <v>44379</v>
      </c>
      <c r="Z18" s="308">
        <f>IF(MONTH(AA18-1)&lt;&gt;MONTH(AA18),"",AA18-1)</f>
        <v>44380</v>
      </c>
      <c r="AA18" s="308">
        <f>DATE(YEAR(R18),MONTH(R18)+1,1)+7-WEEKDAY(DATE(YEAR(R18),MONTH(R18)+1,1)-1)</f>
        <v>44381</v>
      </c>
      <c r="AB18" s="321">
        <f>IF(AA18="","",INT((9+AA18-MOD(AA18-2,7)-DATE(YEAR(3+AA18-MOD(AA18-2,7)),1,))/7))</f>
        <v>26</v>
      </c>
      <c r="AC18" s="304"/>
      <c r="AD18" s="307" t="str">
        <f>IF(MONTH(AJ18-6)&lt;&gt;MONTH(AJ18),"",AJ18-6)</f>
        <v/>
      </c>
      <c r="AE18" s="308" t="str">
        <f>IF(MONTH(AJ18-5)&lt;&gt;MONTH(AJ18),"",AJ18-5)</f>
        <v/>
      </c>
      <c r="AF18" s="308" t="str">
        <f>IF(MONTH(AJ18-4)&lt;&gt;MONTH(AJ18),"",AJ18-4)</f>
        <v/>
      </c>
      <c r="AG18" s="308" t="str">
        <f>IF(MONTH(AJ18-3)&lt;&gt;MONTH(AJ18),"",AJ18-3)</f>
        <v/>
      </c>
      <c r="AH18" s="308" t="str">
        <f>IF(MONTH(AJ18-2)&lt;&gt;MONTH(AJ18),"",AJ18-2)</f>
        <v/>
      </c>
      <c r="AI18" s="308" t="str">
        <f>IF(MONTH(AJ18-1)&lt;&gt;MONTH(AJ18),"",AJ18-1)</f>
        <v/>
      </c>
      <c r="AJ18" s="308">
        <f>DATE(YEAR(AA18),MONTH(AA18)+1,1)+7-WEEKDAY(DATE(YEAR(AA18),MONTH(AA18)+1,1)-1)</f>
        <v>44409</v>
      </c>
      <c r="AK18" s="321">
        <f>IF(AJ18="","",INT((9+AJ18-MOD(AJ18-2,7)-DATE(YEAR(3+AJ18-MOD(AJ18-2,7)),1,))/7))</f>
        <v>30</v>
      </c>
      <c r="AL18" s="305"/>
    </row>
    <row r="19" spans="2:38" s="306" customFormat="1" ht="25" customHeight="1" x14ac:dyDescent="0.15">
      <c r="B19" s="303"/>
      <c r="C19" s="309">
        <f t="shared" ref="C19:C21" si="25">D19-1</f>
        <v>44319</v>
      </c>
      <c r="D19" s="310">
        <f t="shared" ref="D19:D21" si="26">E19-1</f>
        <v>44320</v>
      </c>
      <c r="E19" s="310">
        <f t="shared" ref="E19:E21" si="27">F19-1</f>
        <v>44321</v>
      </c>
      <c r="F19" s="310">
        <f t="shared" ref="F19:F21" si="28">G19-1</f>
        <v>44322</v>
      </c>
      <c r="G19" s="310">
        <f t="shared" ref="G19:G21" si="29">H19-1</f>
        <v>44323</v>
      </c>
      <c r="H19" s="310">
        <f t="shared" ref="H19:H21" si="30">I19-1</f>
        <v>44324</v>
      </c>
      <c r="I19" s="310">
        <f>I18+7</f>
        <v>44325</v>
      </c>
      <c r="J19" s="322">
        <f>IF(C19="","",INT((9+C19-MOD(C19-2,7)-DATE(YEAR(3+C19-MOD(C19-2,7)),1,))/7))</f>
        <v>18</v>
      </c>
      <c r="K19" s="304"/>
      <c r="L19" s="309">
        <f t="shared" ref="L19:L21" si="31">M19-1</f>
        <v>44354</v>
      </c>
      <c r="M19" s="310">
        <f t="shared" ref="M19:M21" si="32">N19-1</f>
        <v>44355</v>
      </c>
      <c r="N19" s="310">
        <f t="shared" ref="N19:N21" si="33">O19-1</f>
        <v>44356</v>
      </c>
      <c r="O19" s="310">
        <f t="shared" ref="O19:O21" si="34">P19-1</f>
        <v>44357</v>
      </c>
      <c r="P19" s="310">
        <f t="shared" ref="P19:P21" si="35">Q19-1</f>
        <v>44358</v>
      </c>
      <c r="Q19" s="310">
        <f t="shared" ref="Q19:Q21" si="36">R19-1</f>
        <v>44359</v>
      </c>
      <c r="R19" s="310">
        <f>R18+7</f>
        <v>44360</v>
      </c>
      <c r="S19" s="322">
        <f>IF(L19="","",INT((9+L19-MOD(L19-2,7)-DATE(YEAR(3+L19-MOD(L19-2,7)),1,))/7))</f>
        <v>23</v>
      </c>
      <c r="T19" s="304"/>
      <c r="U19" s="309">
        <f t="shared" ref="U19:U21" si="37">V19-1</f>
        <v>44382</v>
      </c>
      <c r="V19" s="310">
        <f t="shared" ref="V19:V21" si="38">W19-1</f>
        <v>44383</v>
      </c>
      <c r="W19" s="310">
        <f t="shared" ref="W19:W21" si="39">X19-1</f>
        <v>44384</v>
      </c>
      <c r="X19" s="310">
        <f t="shared" ref="X19:X21" si="40">Y19-1</f>
        <v>44385</v>
      </c>
      <c r="Y19" s="310">
        <f t="shared" ref="Y19:Y21" si="41">Z19-1</f>
        <v>44386</v>
      </c>
      <c r="Z19" s="310">
        <f t="shared" ref="Z19:Z21" si="42">AA19-1</f>
        <v>44387</v>
      </c>
      <c r="AA19" s="310">
        <f>AA18+7</f>
        <v>44388</v>
      </c>
      <c r="AB19" s="322">
        <f>IF(U19="","",INT((9+U19-MOD(U19-2,7)-DATE(YEAR(3+U19-MOD(U19-2,7)),1,))/7))</f>
        <v>27</v>
      </c>
      <c r="AC19" s="304"/>
      <c r="AD19" s="309">
        <f t="shared" ref="AD19:AD21" si="43">AE19-1</f>
        <v>44410</v>
      </c>
      <c r="AE19" s="310">
        <f t="shared" ref="AE19:AE21" si="44">AF19-1</f>
        <v>44411</v>
      </c>
      <c r="AF19" s="310">
        <f t="shared" ref="AF19:AF21" si="45">AG19-1</f>
        <v>44412</v>
      </c>
      <c r="AG19" s="310">
        <f t="shared" ref="AG19:AG21" si="46">AH19-1</f>
        <v>44413</v>
      </c>
      <c r="AH19" s="310">
        <f t="shared" ref="AH19:AH21" si="47">AI19-1</f>
        <v>44414</v>
      </c>
      <c r="AI19" s="310">
        <f t="shared" ref="AI19:AI21" si="48">AJ19-1</f>
        <v>44415</v>
      </c>
      <c r="AJ19" s="310">
        <f>AJ18+7</f>
        <v>44416</v>
      </c>
      <c r="AK19" s="322">
        <f>IF(AD19="","",INT((9+AD19-MOD(AD19-2,7)-DATE(YEAR(3+AD19-MOD(AD19-2,7)),1,))/7))</f>
        <v>31</v>
      </c>
      <c r="AL19" s="305"/>
    </row>
    <row r="20" spans="2:38" s="306" customFormat="1" ht="25" customHeight="1" x14ac:dyDescent="0.15">
      <c r="B20" s="303"/>
      <c r="C20" s="309">
        <f t="shared" si="25"/>
        <v>44326</v>
      </c>
      <c r="D20" s="310">
        <f t="shared" si="26"/>
        <v>44327</v>
      </c>
      <c r="E20" s="310">
        <f t="shared" si="27"/>
        <v>44328</v>
      </c>
      <c r="F20" s="310">
        <f t="shared" si="28"/>
        <v>44329</v>
      </c>
      <c r="G20" s="310">
        <f t="shared" si="29"/>
        <v>44330</v>
      </c>
      <c r="H20" s="310">
        <f t="shared" si="30"/>
        <v>44331</v>
      </c>
      <c r="I20" s="310">
        <f t="shared" ref="I20:I21" si="49">I19+7</f>
        <v>44332</v>
      </c>
      <c r="J20" s="322">
        <f>IF(C20="","",INT((9+C20-MOD(C20-2,7)-DATE(YEAR(3+C20-MOD(C20-2,7)),1,))/7))</f>
        <v>19</v>
      </c>
      <c r="K20" s="304"/>
      <c r="L20" s="309">
        <f t="shared" si="31"/>
        <v>44361</v>
      </c>
      <c r="M20" s="310">
        <f t="shared" si="32"/>
        <v>44362</v>
      </c>
      <c r="N20" s="310">
        <f t="shared" si="33"/>
        <v>44363</v>
      </c>
      <c r="O20" s="310">
        <f t="shared" si="34"/>
        <v>44364</v>
      </c>
      <c r="P20" s="310">
        <f t="shared" si="35"/>
        <v>44365</v>
      </c>
      <c r="Q20" s="310">
        <f t="shared" si="36"/>
        <v>44366</v>
      </c>
      <c r="R20" s="310">
        <f t="shared" ref="R20:R21" si="50">R19+7</f>
        <v>44367</v>
      </c>
      <c r="S20" s="322">
        <f>IF(L20="","",INT((9+L20-MOD(L20-2,7)-DATE(YEAR(3+L20-MOD(L20-2,7)),1,))/7))</f>
        <v>24</v>
      </c>
      <c r="T20" s="304"/>
      <c r="U20" s="309">
        <f t="shared" si="37"/>
        <v>44389</v>
      </c>
      <c r="V20" s="310">
        <f t="shared" si="38"/>
        <v>44390</v>
      </c>
      <c r="W20" s="310">
        <f t="shared" si="39"/>
        <v>44391</v>
      </c>
      <c r="X20" s="310">
        <f t="shared" si="40"/>
        <v>44392</v>
      </c>
      <c r="Y20" s="310">
        <f t="shared" si="41"/>
        <v>44393</v>
      </c>
      <c r="Z20" s="310">
        <f t="shared" si="42"/>
        <v>44394</v>
      </c>
      <c r="AA20" s="310">
        <f t="shared" ref="AA20:AA21" si="51">AA19+7</f>
        <v>44395</v>
      </c>
      <c r="AB20" s="322">
        <f>IF(U20="","",INT((9+U20-MOD(U20-2,7)-DATE(YEAR(3+U20-MOD(U20-2,7)),1,))/7))</f>
        <v>28</v>
      </c>
      <c r="AC20" s="304"/>
      <c r="AD20" s="309">
        <f t="shared" si="43"/>
        <v>44417</v>
      </c>
      <c r="AE20" s="310">
        <f t="shared" si="44"/>
        <v>44418</v>
      </c>
      <c r="AF20" s="310">
        <f t="shared" si="45"/>
        <v>44419</v>
      </c>
      <c r="AG20" s="310">
        <f t="shared" si="46"/>
        <v>44420</v>
      </c>
      <c r="AH20" s="310">
        <f t="shared" si="47"/>
        <v>44421</v>
      </c>
      <c r="AI20" s="310">
        <f t="shared" si="48"/>
        <v>44422</v>
      </c>
      <c r="AJ20" s="310">
        <f t="shared" ref="AJ20:AJ21" si="52">AJ19+7</f>
        <v>44423</v>
      </c>
      <c r="AK20" s="322">
        <f>IF(AD20="","",INT((9+AD20-MOD(AD20-2,7)-DATE(YEAR(3+AD20-MOD(AD20-2,7)),1,))/7))</f>
        <v>32</v>
      </c>
      <c r="AL20" s="305"/>
    </row>
    <row r="21" spans="2:38" s="306" customFormat="1" ht="25" customHeight="1" x14ac:dyDescent="0.15">
      <c r="B21" s="303"/>
      <c r="C21" s="309">
        <f t="shared" si="25"/>
        <v>44333</v>
      </c>
      <c r="D21" s="310">
        <f t="shared" si="26"/>
        <v>44334</v>
      </c>
      <c r="E21" s="310">
        <f t="shared" si="27"/>
        <v>44335</v>
      </c>
      <c r="F21" s="310">
        <f t="shared" si="28"/>
        <v>44336</v>
      </c>
      <c r="G21" s="310">
        <f t="shared" si="29"/>
        <v>44337</v>
      </c>
      <c r="H21" s="310">
        <f t="shared" si="30"/>
        <v>44338</v>
      </c>
      <c r="I21" s="310">
        <f t="shared" si="49"/>
        <v>44339</v>
      </c>
      <c r="J21" s="322">
        <f>IF(C21="","",INT((9+C21-MOD(C21-2,7)-DATE(YEAR(3+C21-MOD(C21-2,7)),1,))/7))</f>
        <v>20</v>
      </c>
      <c r="K21" s="304"/>
      <c r="L21" s="309">
        <f t="shared" si="31"/>
        <v>44368</v>
      </c>
      <c r="M21" s="310">
        <f t="shared" si="32"/>
        <v>44369</v>
      </c>
      <c r="N21" s="310">
        <f t="shared" si="33"/>
        <v>44370</v>
      </c>
      <c r="O21" s="310">
        <f t="shared" si="34"/>
        <v>44371</v>
      </c>
      <c r="P21" s="310">
        <f t="shared" si="35"/>
        <v>44372</v>
      </c>
      <c r="Q21" s="310">
        <f t="shared" si="36"/>
        <v>44373</v>
      </c>
      <c r="R21" s="310">
        <f t="shared" si="50"/>
        <v>44374</v>
      </c>
      <c r="S21" s="322">
        <f>IF(L21="","",INT((9+L21-MOD(L21-2,7)-DATE(YEAR(3+L21-MOD(L21-2,7)),1,))/7))</f>
        <v>25</v>
      </c>
      <c r="T21" s="304"/>
      <c r="U21" s="309">
        <f t="shared" si="37"/>
        <v>44396</v>
      </c>
      <c r="V21" s="310">
        <f t="shared" si="38"/>
        <v>44397</v>
      </c>
      <c r="W21" s="310">
        <f t="shared" si="39"/>
        <v>44398</v>
      </c>
      <c r="X21" s="310">
        <f t="shared" si="40"/>
        <v>44399</v>
      </c>
      <c r="Y21" s="310">
        <f t="shared" si="41"/>
        <v>44400</v>
      </c>
      <c r="Z21" s="310">
        <f t="shared" si="42"/>
        <v>44401</v>
      </c>
      <c r="AA21" s="310">
        <f t="shared" si="51"/>
        <v>44402</v>
      </c>
      <c r="AB21" s="322">
        <f>IF(U21="","",INT((9+U21-MOD(U21-2,7)-DATE(YEAR(3+U21-MOD(U21-2,7)),1,))/7))</f>
        <v>29</v>
      </c>
      <c r="AC21" s="304"/>
      <c r="AD21" s="309">
        <f t="shared" si="43"/>
        <v>44424</v>
      </c>
      <c r="AE21" s="310">
        <f t="shared" si="44"/>
        <v>44425</v>
      </c>
      <c r="AF21" s="310">
        <f t="shared" si="45"/>
        <v>44426</v>
      </c>
      <c r="AG21" s="310">
        <f t="shared" si="46"/>
        <v>44427</v>
      </c>
      <c r="AH21" s="310">
        <f t="shared" si="47"/>
        <v>44428</v>
      </c>
      <c r="AI21" s="310">
        <f t="shared" si="48"/>
        <v>44429</v>
      </c>
      <c r="AJ21" s="310">
        <f t="shared" si="52"/>
        <v>44430</v>
      </c>
      <c r="AK21" s="322">
        <f>IF(AD21="","",INT((9+AD21-MOD(AD21-2,7)-DATE(YEAR(3+AD21-MOD(AD21-2,7)),1,))/7))</f>
        <v>33</v>
      </c>
      <c r="AL21" s="305"/>
    </row>
    <row r="22" spans="2:38" s="306" customFormat="1" ht="25" customHeight="1" x14ac:dyDescent="0.15">
      <c r="B22" s="303"/>
      <c r="C22" s="309">
        <f>IF(MONTH(I21+1)&lt;&gt;MONTH(I18),"",I21+1)</f>
        <v>44340</v>
      </c>
      <c r="D22" s="310">
        <f>IF(MONTH(I21+2)&lt;&gt;MONTH(I18),"",I21+2)</f>
        <v>44341</v>
      </c>
      <c r="E22" s="310">
        <f>IF(MONTH(I21+3)&lt;&gt;MONTH(I18),"",I21+3)</f>
        <v>44342</v>
      </c>
      <c r="F22" s="310">
        <f>IF(MONTH(I21+4)&lt;&gt;MONTH(I18),"",I21+4)</f>
        <v>44343</v>
      </c>
      <c r="G22" s="310">
        <f>IF(MONTH(I21+5)&lt;&gt;MONTH(I18),"",I21+5)</f>
        <v>44344</v>
      </c>
      <c r="H22" s="310">
        <f>IF(MONTH(I21+6)&lt;&gt;MONTH(I18),"",I21+6)</f>
        <v>44345</v>
      </c>
      <c r="I22" s="310">
        <f>IF(MONTH(I21+7)&lt;&gt;MONTH(I18),"",I21+7)</f>
        <v>44346</v>
      </c>
      <c r="J22" s="322">
        <f>IF(C22="","",INT((9+C22-MOD(C22-2,7)-DATE(YEAR(3+C22-MOD(C22-2,7)),1,))/7))</f>
        <v>21</v>
      </c>
      <c r="K22" s="304"/>
      <c r="L22" s="309">
        <f>IF(MONTH(R21+1)&lt;&gt;MONTH(R18),"",R21+1)</f>
        <v>44375</v>
      </c>
      <c r="M22" s="310">
        <f>IF(MONTH(R21+2)&lt;&gt;MONTH(R18),"",R21+2)</f>
        <v>44376</v>
      </c>
      <c r="N22" s="310">
        <f>IF(MONTH(R21+3)&lt;&gt;MONTH(R18),"",R21+3)</f>
        <v>44377</v>
      </c>
      <c r="O22" s="310" t="str">
        <f>IF(MONTH(R21+4)&lt;&gt;MONTH(R18),"",R21+4)</f>
        <v/>
      </c>
      <c r="P22" s="310" t="str">
        <f>IF(MONTH(R21+5)&lt;&gt;MONTH(R18),"",R21+5)</f>
        <v/>
      </c>
      <c r="Q22" s="310" t="str">
        <f>IF(MONTH(R21+6)&lt;&gt;MONTH(R18),"",R21+6)</f>
        <v/>
      </c>
      <c r="R22" s="310" t="str">
        <f>IF(MONTH(R21+7)&lt;&gt;MONTH(R18),"",R21+7)</f>
        <v/>
      </c>
      <c r="S22" s="322">
        <f>IF(L22="","",INT((9+L22-MOD(L22-2,7)-DATE(YEAR(3+L22-MOD(L22-2,7)),1,))/7))</f>
        <v>26</v>
      </c>
      <c r="T22" s="304"/>
      <c r="U22" s="309">
        <f>IF(MONTH(AA21+1)&lt;&gt;MONTH(AA18),"",AA21+1)</f>
        <v>44403</v>
      </c>
      <c r="V22" s="310">
        <f>IF(MONTH(AA21+2)&lt;&gt;MONTH(AA18),"",AA21+2)</f>
        <v>44404</v>
      </c>
      <c r="W22" s="310">
        <f>IF(MONTH(AA21+3)&lt;&gt;MONTH(AA18),"",AA21+3)</f>
        <v>44405</v>
      </c>
      <c r="X22" s="310">
        <f>IF(MONTH(AA21+4)&lt;&gt;MONTH(AA18),"",AA21+4)</f>
        <v>44406</v>
      </c>
      <c r="Y22" s="310">
        <f>IF(MONTH(AA21+5)&lt;&gt;MONTH(AA18),"",AA21+5)</f>
        <v>44407</v>
      </c>
      <c r="Z22" s="310">
        <f>IF(MONTH(AA21+6)&lt;&gt;MONTH(AA18),"",AA21+6)</f>
        <v>44408</v>
      </c>
      <c r="AA22" s="310" t="str">
        <f>IF(MONTH(AA21+7)&lt;&gt;MONTH(AA18),"",AA21+7)</f>
        <v/>
      </c>
      <c r="AB22" s="322">
        <f>IF(U22="","",INT((9+U22-MOD(U22-2,7)-DATE(YEAR(3+U22-MOD(U22-2,7)),1,))/7))</f>
        <v>30</v>
      </c>
      <c r="AC22" s="304"/>
      <c r="AD22" s="309">
        <f>IF(MONTH(AJ21+1)&lt;&gt;MONTH(AJ18),"",AJ21+1)</f>
        <v>44431</v>
      </c>
      <c r="AE22" s="310">
        <f>IF(MONTH(AJ21+2)&lt;&gt;MONTH(AJ18),"",AJ21+2)</f>
        <v>44432</v>
      </c>
      <c r="AF22" s="310">
        <f>IF(MONTH(AJ21+3)&lt;&gt;MONTH(AJ18),"",AJ21+3)</f>
        <v>44433</v>
      </c>
      <c r="AG22" s="310">
        <f>IF(MONTH(AJ21+4)&lt;&gt;MONTH(AJ18),"",AJ21+4)</f>
        <v>44434</v>
      </c>
      <c r="AH22" s="310">
        <f>IF(MONTH(AJ21+5)&lt;&gt;MONTH(AJ18),"",AJ21+5)</f>
        <v>44435</v>
      </c>
      <c r="AI22" s="310">
        <f>IF(MONTH(AJ21+6)&lt;&gt;MONTH(AJ18),"",AJ21+6)</f>
        <v>44436</v>
      </c>
      <c r="AJ22" s="310">
        <f>IF(MONTH(AJ21+7)&lt;&gt;MONTH(AJ18),"",AJ21+7)</f>
        <v>44437</v>
      </c>
      <c r="AK22" s="322">
        <f>IF(AD22="","",INT((9+AD22-MOD(AD22-2,7)-DATE(YEAR(3+AD22-MOD(AD22-2,7)),1,))/7))</f>
        <v>34</v>
      </c>
      <c r="AL22" s="305"/>
    </row>
    <row r="23" spans="2:38" s="306" customFormat="1" ht="25" customHeight="1" thickBot="1" x14ac:dyDescent="0.2">
      <c r="B23" s="303"/>
      <c r="C23" s="311">
        <f>IF(MONTH(I21+8)&lt;&gt;MONTH(I18),"",I21+8)</f>
        <v>44347</v>
      </c>
      <c r="D23" s="312" t="str">
        <f>IF(MONTH(I21+9)&lt;&gt;MONTH(I18),"",I21+9)</f>
        <v/>
      </c>
      <c r="E23" s="312" t="str">
        <f>IF(MONTH(I21+10)&lt;&gt;MONTH(I18),"",I21+10)</f>
        <v/>
      </c>
      <c r="F23" s="312" t="str">
        <f>IF(MONTH(I21+11)&lt;&gt;MONTH(I18),"",I21+11)</f>
        <v/>
      </c>
      <c r="G23" s="312" t="str">
        <f>IF(MONTH(I21+12)&lt;&gt;MONTH(I18),"",I21+12)</f>
        <v/>
      </c>
      <c r="H23" s="312" t="str">
        <f>IF(MONTH(I21+13)&lt;&gt;MONTH(I18),"",I21+13)</f>
        <v/>
      </c>
      <c r="I23" s="312" t="str">
        <f>IF(MONTH(I21+14)&lt;&gt;MONTH(I18),"",I21+14)</f>
        <v/>
      </c>
      <c r="J23" s="323">
        <f>IF(C23="","",INT((9+C23-MOD(C23-2,7)-DATE(YEAR(3+C23-MOD(C23-2,7)),1,))/7))</f>
        <v>22</v>
      </c>
      <c r="K23" s="304"/>
      <c r="L23" s="311" t="str">
        <f>IF(MONTH(R21+8)&lt;&gt;MONTH(R18),"",R21+8)</f>
        <v/>
      </c>
      <c r="M23" s="312" t="str">
        <f>IF(MONTH(R21+9)&lt;&gt;MONTH(R18),"",R21+9)</f>
        <v/>
      </c>
      <c r="N23" s="312" t="str">
        <f>IF(MONTH(R21+10)&lt;&gt;MONTH(R18),"",R21+10)</f>
        <v/>
      </c>
      <c r="O23" s="312" t="str">
        <f>IF(MONTH(R21+11)&lt;&gt;MONTH(R18),"",R21+11)</f>
        <v/>
      </c>
      <c r="P23" s="312" t="str">
        <f>IF(MONTH(R21+12)&lt;&gt;MONTH(R18),"",R21+12)</f>
        <v/>
      </c>
      <c r="Q23" s="312" t="str">
        <f>IF(MONTH(R21+13)&lt;&gt;MONTH(R18),"",R21+13)</f>
        <v/>
      </c>
      <c r="R23" s="312" t="str">
        <f>IF(MONTH(R21+14)&lt;&gt;MONTH(R18),"",R21+14)</f>
        <v/>
      </c>
      <c r="S23" s="323" t="str">
        <f>IF(L23="","",INT((9+L23-MOD(L23-2,7)-DATE(YEAR(3+L23-MOD(L23-2,7)),1,))/7))</f>
        <v/>
      </c>
      <c r="T23" s="304"/>
      <c r="U23" s="311" t="str">
        <f>IF(MONTH(AA21+8)&lt;&gt;MONTH(AA18),"",AA21+8)</f>
        <v/>
      </c>
      <c r="V23" s="312" t="str">
        <f>IF(MONTH(AA21+9)&lt;&gt;MONTH(AA18),"",AA21+9)</f>
        <v/>
      </c>
      <c r="W23" s="312" t="str">
        <f>IF(MONTH(AA21+10)&lt;&gt;MONTH(AA18),"",AA21+10)</f>
        <v/>
      </c>
      <c r="X23" s="312" t="str">
        <f>IF(MONTH(AA21+11)&lt;&gt;MONTH(AA18),"",AA21+11)</f>
        <v/>
      </c>
      <c r="Y23" s="312" t="str">
        <f>IF(MONTH(AA21+12)&lt;&gt;MONTH(AA18),"",AA21+12)</f>
        <v/>
      </c>
      <c r="Z23" s="312" t="str">
        <f>IF(MONTH(AA21+13)&lt;&gt;MONTH(AA18),"",AA21+13)</f>
        <v/>
      </c>
      <c r="AA23" s="312" t="str">
        <f>IF(MONTH(AA21+14)&lt;&gt;MONTH(AA18),"",AA21+14)</f>
        <v/>
      </c>
      <c r="AB23" s="323" t="str">
        <f>IF(U23="","",INT((9+U23-MOD(U23-2,7)-DATE(YEAR(3+U23-MOD(U23-2,7)),1,))/7))</f>
        <v/>
      </c>
      <c r="AC23" s="304"/>
      <c r="AD23" s="311">
        <f>IF(MONTH(AJ21+8)&lt;&gt;MONTH(AJ18),"",AJ21+8)</f>
        <v>44438</v>
      </c>
      <c r="AE23" s="312">
        <f>IF(MONTH(AJ21+9)&lt;&gt;MONTH(AJ18),"",AJ21+9)</f>
        <v>44439</v>
      </c>
      <c r="AF23" s="312" t="str">
        <f>IF(MONTH(AJ21+10)&lt;&gt;MONTH(AJ18),"",AJ21+10)</f>
        <v/>
      </c>
      <c r="AG23" s="312" t="str">
        <f>IF(MONTH(AJ21+11)&lt;&gt;MONTH(AJ18),"",AJ21+11)</f>
        <v/>
      </c>
      <c r="AH23" s="312" t="str">
        <f>IF(MONTH(AJ21+12)&lt;&gt;MONTH(AJ18),"",AJ21+12)</f>
        <v/>
      </c>
      <c r="AI23" s="312" t="str">
        <f>IF(MONTH(AJ21+13)&lt;&gt;MONTH(AJ18),"",AJ21+13)</f>
        <v/>
      </c>
      <c r="AJ23" s="312" t="str">
        <f>IF(MONTH(AJ21+14)&lt;&gt;MONTH(AJ18),"",AJ21+14)</f>
        <v/>
      </c>
      <c r="AK23" s="323">
        <f>IF(AD23="","",INT((9+AD23-MOD(AD23-2,7)-DATE(YEAR(3+AD23-MOD(AD23-2,7)),1,))/7))</f>
        <v>35</v>
      </c>
      <c r="AL23" s="305"/>
    </row>
    <row r="24" spans="2:38" ht="23" customHeight="1" x14ac:dyDescent="0.2">
      <c r="B24" s="285"/>
      <c r="C24" s="291"/>
      <c r="D24" s="291"/>
      <c r="E24" s="291"/>
      <c r="F24" s="291"/>
      <c r="G24" s="291"/>
      <c r="H24" s="291"/>
      <c r="I24" s="291"/>
      <c r="J24" s="316"/>
      <c r="K24" s="291"/>
      <c r="L24" s="291"/>
      <c r="M24" s="291"/>
      <c r="N24" s="291"/>
      <c r="O24" s="291"/>
      <c r="P24" s="291"/>
      <c r="Q24" s="291"/>
      <c r="R24" s="291"/>
      <c r="S24" s="316"/>
      <c r="T24" s="291"/>
      <c r="U24" s="291"/>
      <c r="V24" s="291"/>
      <c r="W24" s="291"/>
      <c r="X24" s="291"/>
      <c r="Y24" s="291"/>
      <c r="Z24" s="291"/>
      <c r="AA24" s="291"/>
      <c r="AB24" s="316"/>
      <c r="AC24" s="291"/>
      <c r="AD24" s="291"/>
      <c r="AE24" s="291"/>
      <c r="AF24" s="291"/>
      <c r="AG24" s="291"/>
      <c r="AH24" s="291"/>
      <c r="AI24" s="291"/>
      <c r="AJ24" s="291"/>
      <c r="AK24" s="316"/>
      <c r="AL24" s="286"/>
    </row>
    <row r="25" spans="2:38" s="301" customFormat="1" ht="29" customHeight="1" thickBot="1" x14ac:dyDescent="0.25">
      <c r="B25" s="298"/>
      <c r="C25" s="526" t="str">
        <f>IF(Calculs!$C$90&lt;&gt;Calculs!$C$91,UPPER(TEXT(I28,"mmmm aaaa")),UPPER(TEXT(I28,"mmmm")))</f>
        <v>SEPTEMBRE</v>
      </c>
      <c r="D25" s="527"/>
      <c r="E25" s="527"/>
      <c r="F25" s="527"/>
      <c r="G25" s="527"/>
      <c r="H25" s="527"/>
      <c r="I25" s="527"/>
      <c r="J25" s="528"/>
      <c r="K25" s="302"/>
      <c r="L25" s="526" t="str">
        <f>IF(Calculs!$C$90&lt;&gt;Calculs!$C$91,UPPER(TEXT(R28,"mmmm aaaa")),UPPER(TEXT(R28,"mmmm")))</f>
        <v>OCTOBRE</v>
      </c>
      <c r="M25" s="527"/>
      <c r="N25" s="527"/>
      <c r="O25" s="527"/>
      <c r="P25" s="527"/>
      <c r="Q25" s="527"/>
      <c r="R25" s="527"/>
      <c r="S25" s="528"/>
      <c r="T25" s="299"/>
      <c r="U25" s="526" t="str">
        <f>IF(Calculs!$C$90&lt;&gt;Calculs!$C$91,UPPER(TEXT(AA28,"mmmm aaaa")),UPPER(TEXT(AA28,"mmmm")))</f>
        <v>NOVEMBRE</v>
      </c>
      <c r="V25" s="527"/>
      <c r="W25" s="527"/>
      <c r="X25" s="527"/>
      <c r="Y25" s="527"/>
      <c r="Z25" s="527"/>
      <c r="AA25" s="527"/>
      <c r="AB25" s="528"/>
      <c r="AC25" s="299"/>
      <c r="AD25" s="526" t="str">
        <f>IF(Calculs!$C$90&lt;&gt;Calculs!$C$91,UPPER(TEXT(AJ28,"mmmm aaaa")),UPPER(TEXT(AJ28,"mmmm")))</f>
        <v>DÉCEMBRE</v>
      </c>
      <c r="AE25" s="527"/>
      <c r="AF25" s="527"/>
      <c r="AG25" s="527"/>
      <c r="AH25" s="527"/>
      <c r="AI25" s="527"/>
      <c r="AJ25" s="527"/>
      <c r="AK25" s="528"/>
      <c r="AL25" s="300"/>
    </row>
    <row r="26" spans="2:38" ht="6" customHeight="1" x14ac:dyDescent="0.2">
      <c r="B26" s="285"/>
      <c r="C26" s="292"/>
      <c r="D26" s="292"/>
      <c r="E26" s="292"/>
      <c r="F26" s="292"/>
      <c r="G26" s="292"/>
      <c r="H26" s="292"/>
      <c r="I26" s="292"/>
      <c r="J26" s="317"/>
      <c r="K26" s="291"/>
      <c r="L26" s="292"/>
      <c r="M26" s="292"/>
      <c r="N26" s="292"/>
      <c r="O26" s="292"/>
      <c r="P26" s="292"/>
      <c r="Q26" s="292"/>
      <c r="R26" s="292"/>
      <c r="S26" s="317"/>
      <c r="T26" s="291"/>
      <c r="U26" s="292"/>
      <c r="V26" s="292"/>
      <c r="W26" s="292"/>
      <c r="X26" s="292"/>
      <c r="Y26" s="292"/>
      <c r="Z26" s="292"/>
      <c r="AA26" s="292"/>
      <c r="AB26" s="317"/>
      <c r="AC26" s="291"/>
      <c r="AD26" s="292"/>
      <c r="AE26" s="292"/>
      <c r="AF26" s="292"/>
      <c r="AG26" s="292"/>
      <c r="AH26" s="292"/>
      <c r="AI26" s="292"/>
      <c r="AJ26" s="292"/>
      <c r="AK26" s="317"/>
      <c r="AL26" s="286"/>
    </row>
    <row r="27" spans="2:38" s="297" customFormat="1" ht="18" customHeight="1" x14ac:dyDescent="0.2">
      <c r="B27" s="294"/>
      <c r="C27" s="324" t="s">
        <v>15</v>
      </c>
      <c r="D27" s="325" t="s">
        <v>16</v>
      </c>
      <c r="E27" s="325" t="s">
        <v>17</v>
      </c>
      <c r="F27" s="325" t="s">
        <v>18</v>
      </c>
      <c r="G27" s="325" t="s">
        <v>19</v>
      </c>
      <c r="H27" s="325" t="s">
        <v>20</v>
      </c>
      <c r="I27" s="325" t="s">
        <v>21</v>
      </c>
      <c r="J27" s="326"/>
      <c r="K27" s="295"/>
      <c r="L27" s="324" t="s">
        <v>15</v>
      </c>
      <c r="M27" s="325" t="s">
        <v>16</v>
      </c>
      <c r="N27" s="325" t="s">
        <v>17</v>
      </c>
      <c r="O27" s="325" t="s">
        <v>18</v>
      </c>
      <c r="P27" s="325" t="s">
        <v>19</v>
      </c>
      <c r="Q27" s="325" t="s">
        <v>20</v>
      </c>
      <c r="R27" s="325" t="s">
        <v>21</v>
      </c>
      <c r="S27" s="326"/>
      <c r="T27" s="295"/>
      <c r="U27" s="324" t="s">
        <v>15</v>
      </c>
      <c r="V27" s="325" t="s">
        <v>16</v>
      </c>
      <c r="W27" s="325" t="s">
        <v>17</v>
      </c>
      <c r="X27" s="325" t="s">
        <v>18</v>
      </c>
      <c r="Y27" s="325" t="s">
        <v>19</v>
      </c>
      <c r="Z27" s="325" t="s">
        <v>20</v>
      </c>
      <c r="AA27" s="325" t="s">
        <v>21</v>
      </c>
      <c r="AB27" s="326"/>
      <c r="AC27" s="295"/>
      <c r="AD27" s="324" t="s">
        <v>15</v>
      </c>
      <c r="AE27" s="325" t="s">
        <v>16</v>
      </c>
      <c r="AF27" s="325" t="s">
        <v>17</v>
      </c>
      <c r="AG27" s="325" t="s">
        <v>18</v>
      </c>
      <c r="AH27" s="325" t="s">
        <v>19</v>
      </c>
      <c r="AI27" s="325" t="s">
        <v>20</v>
      </c>
      <c r="AJ27" s="325" t="s">
        <v>21</v>
      </c>
      <c r="AK27" s="326"/>
      <c r="AL27" s="296"/>
    </row>
    <row r="28" spans="2:38" s="306" customFormat="1" ht="25" customHeight="1" x14ac:dyDescent="0.15">
      <c r="B28" s="303"/>
      <c r="C28" s="307" t="str">
        <f>IF(MONTH(I28-6)&lt;&gt;MONTH(I28),"",I28-6)</f>
        <v/>
      </c>
      <c r="D28" s="308" t="str">
        <f>IF(MONTH(I28-5)&lt;&gt;MONTH(I28),"",I28-5)</f>
        <v/>
      </c>
      <c r="E28" s="308">
        <f>IF(MONTH(I28-4)&lt;&gt;MONTH(I28),"",I28-4)</f>
        <v>44440</v>
      </c>
      <c r="F28" s="308">
        <f>IF(MONTH(I28-3)&lt;&gt;MONTH(I28),"",I28-3)</f>
        <v>44441</v>
      </c>
      <c r="G28" s="308">
        <f>IF(MONTH(I28-2)&lt;&gt;MONTH(I28),"",I28-2)</f>
        <v>44442</v>
      </c>
      <c r="H28" s="308">
        <f>IF(MONTH(I28-1)&lt;&gt;MONTH(I28),"",I28-1)</f>
        <v>44443</v>
      </c>
      <c r="I28" s="308">
        <f>DATE(YEAR(AJ18),MONTH(AJ18)+1,1)+7-WEEKDAY(DATE(YEAR(AJ18),MONTH(AJ18)+1,1)-1)</f>
        <v>44444</v>
      </c>
      <c r="J28" s="321">
        <f>IF(I28="","",INT((9+I28-MOD(I28-2,7)-DATE(YEAR(3+I28-MOD(I28-2,7)),1,))/7))</f>
        <v>35</v>
      </c>
      <c r="K28" s="304"/>
      <c r="L28" s="307" t="str">
        <f>IF(MONTH(R28-6)&lt;&gt;MONTH(R28),"",R28-6)</f>
        <v/>
      </c>
      <c r="M28" s="308" t="str">
        <f>IF(MONTH(R28-5)&lt;&gt;MONTH(R28),"",R28-5)</f>
        <v/>
      </c>
      <c r="N28" s="308" t="str">
        <f>IF(MONTH(R28-4)&lt;&gt;MONTH(R28),"",R28-4)</f>
        <v/>
      </c>
      <c r="O28" s="308" t="str">
        <f>IF(MONTH(R28-3)&lt;&gt;MONTH(R28),"",R28-3)</f>
        <v/>
      </c>
      <c r="P28" s="308">
        <f>IF(MONTH(R28-2)&lt;&gt;MONTH(R28),"",R28-2)</f>
        <v>44470</v>
      </c>
      <c r="Q28" s="308">
        <f>IF(MONTH(R28-1)&lt;&gt;MONTH(R28),"",R28-1)</f>
        <v>44471</v>
      </c>
      <c r="R28" s="308">
        <f>DATE(YEAR(I28),MONTH(I28)+1,1)+7-WEEKDAY(DATE(YEAR(I28),MONTH(I28)+1,1)-1)</f>
        <v>44472</v>
      </c>
      <c r="S28" s="321">
        <f>IF(R28="","",INT((9+R28-MOD(R28-2,7)-DATE(YEAR(3+R28-MOD(R28-2,7)),1,))/7))</f>
        <v>39</v>
      </c>
      <c r="T28" s="304"/>
      <c r="U28" s="307">
        <f>IF(MONTH(AA28-6)&lt;&gt;MONTH(AA28),"",AA28-6)</f>
        <v>44501</v>
      </c>
      <c r="V28" s="308">
        <f>IF(MONTH(AA28-5)&lt;&gt;MONTH(AA28),"",AA28-5)</f>
        <v>44502</v>
      </c>
      <c r="W28" s="308">
        <f>IF(MONTH(AA28-4)&lt;&gt;MONTH(AA28),"",AA28-4)</f>
        <v>44503</v>
      </c>
      <c r="X28" s="308">
        <f>IF(MONTH(AA28-3)&lt;&gt;MONTH(AA28),"",AA28-3)</f>
        <v>44504</v>
      </c>
      <c r="Y28" s="308">
        <f>IF(MONTH(AA28-2)&lt;&gt;MONTH(AA28),"",AA28-2)</f>
        <v>44505</v>
      </c>
      <c r="Z28" s="308">
        <f>IF(MONTH(AA28-1)&lt;&gt;MONTH(AA28),"",AA28-1)</f>
        <v>44506</v>
      </c>
      <c r="AA28" s="308">
        <f>DATE(YEAR(R28),MONTH(R28)+1,1)+7-WEEKDAY(DATE(YEAR(R28),MONTH(R28)+1,1)-1)</f>
        <v>44507</v>
      </c>
      <c r="AB28" s="321">
        <f>IF(AA28="","",INT((9+AA28-MOD(AA28-2,7)-DATE(YEAR(3+AA28-MOD(AA28-2,7)),1,))/7))</f>
        <v>44</v>
      </c>
      <c r="AC28" s="304"/>
      <c r="AD28" s="307" t="str">
        <f>IF(MONTH(AJ28-6)&lt;&gt;MONTH(AJ28),"",AJ28-6)</f>
        <v/>
      </c>
      <c r="AE28" s="308" t="str">
        <f>IF(MONTH(AJ28-5)&lt;&gt;MONTH(AJ28),"",AJ28-5)</f>
        <v/>
      </c>
      <c r="AF28" s="308">
        <f>IF(MONTH(AJ28-4)&lt;&gt;MONTH(AJ28),"",AJ28-4)</f>
        <v>44531</v>
      </c>
      <c r="AG28" s="308">
        <f>IF(MONTH(AJ28-3)&lt;&gt;MONTH(AJ28),"",AJ28-3)</f>
        <v>44532</v>
      </c>
      <c r="AH28" s="308">
        <f>IF(MONTH(AJ28-2)&lt;&gt;MONTH(AJ28),"",AJ28-2)</f>
        <v>44533</v>
      </c>
      <c r="AI28" s="308">
        <f>IF(MONTH(AJ28-1)&lt;&gt;MONTH(AJ28),"",AJ28-1)</f>
        <v>44534</v>
      </c>
      <c r="AJ28" s="308">
        <f>DATE(YEAR(AA28),MONTH(AA28)+1,1)+7-WEEKDAY(DATE(YEAR(AA28),MONTH(AA28)+1,1)-1)</f>
        <v>44535</v>
      </c>
      <c r="AK28" s="321">
        <f>IF(AJ28="","",INT((9+AJ28-MOD(AJ28-2,7)-DATE(YEAR(3+AJ28-MOD(AJ28-2,7)),1,))/7))</f>
        <v>48</v>
      </c>
      <c r="AL28" s="305"/>
    </row>
    <row r="29" spans="2:38" s="306" customFormat="1" ht="25" customHeight="1" x14ac:dyDescent="0.15">
      <c r="B29" s="303"/>
      <c r="C29" s="309">
        <f t="shared" ref="C29:C31" si="53">D29-1</f>
        <v>44445</v>
      </c>
      <c r="D29" s="310">
        <f t="shared" ref="D29:D31" si="54">E29-1</f>
        <v>44446</v>
      </c>
      <c r="E29" s="310">
        <f t="shared" ref="E29:E31" si="55">F29-1</f>
        <v>44447</v>
      </c>
      <c r="F29" s="310">
        <f t="shared" ref="F29:F31" si="56">G29-1</f>
        <v>44448</v>
      </c>
      <c r="G29" s="310">
        <f t="shared" ref="G29:G31" si="57">H29-1</f>
        <v>44449</v>
      </c>
      <c r="H29" s="310">
        <f t="shared" ref="H29:H31" si="58">I29-1</f>
        <v>44450</v>
      </c>
      <c r="I29" s="310">
        <f>I28+7</f>
        <v>44451</v>
      </c>
      <c r="J29" s="322">
        <f>IF(C29="","",INT((9+C29-MOD(C29-2,7)-DATE(YEAR(3+C29-MOD(C29-2,7)),1,))/7))</f>
        <v>36</v>
      </c>
      <c r="K29" s="304"/>
      <c r="L29" s="309">
        <f t="shared" ref="L29:L31" si="59">M29-1</f>
        <v>44473</v>
      </c>
      <c r="M29" s="310">
        <f t="shared" ref="M29:M31" si="60">N29-1</f>
        <v>44474</v>
      </c>
      <c r="N29" s="310">
        <f t="shared" ref="N29:N31" si="61">O29-1</f>
        <v>44475</v>
      </c>
      <c r="O29" s="310">
        <f t="shared" ref="O29:O31" si="62">P29-1</f>
        <v>44476</v>
      </c>
      <c r="P29" s="310">
        <f t="shared" ref="P29:P31" si="63">Q29-1</f>
        <v>44477</v>
      </c>
      <c r="Q29" s="310">
        <f t="shared" ref="Q29:Q31" si="64">R29-1</f>
        <v>44478</v>
      </c>
      <c r="R29" s="310">
        <f>R28+7</f>
        <v>44479</v>
      </c>
      <c r="S29" s="322">
        <f>IF(L29="","",INT((9+L29-MOD(L29-2,7)-DATE(YEAR(3+L29-MOD(L29-2,7)),1,))/7))</f>
        <v>40</v>
      </c>
      <c r="T29" s="304"/>
      <c r="U29" s="309">
        <f t="shared" ref="U29:U31" si="65">V29-1</f>
        <v>44508</v>
      </c>
      <c r="V29" s="310">
        <f t="shared" ref="V29:V31" si="66">W29-1</f>
        <v>44509</v>
      </c>
      <c r="W29" s="310">
        <f t="shared" ref="W29:W31" si="67">X29-1</f>
        <v>44510</v>
      </c>
      <c r="X29" s="310">
        <f t="shared" ref="X29:X31" si="68">Y29-1</f>
        <v>44511</v>
      </c>
      <c r="Y29" s="310">
        <f t="shared" ref="Y29:Y31" si="69">Z29-1</f>
        <v>44512</v>
      </c>
      <c r="Z29" s="310">
        <f t="shared" ref="Z29:Z31" si="70">AA29-1</f>
        <v>44513</v>
      </c>
      <c r="AA29" s="310">
        <f>AA28+7</f>
        <v>44514</v>
      </c>
      <c r="AB29" s="322">
        <f>IF(U29="","",INT((9+U29-MOD(U29-2,7)-DATE(YEAR(3+U29-MOD(U29-2,7)),1,))/7))</f>
        <v>45</v>
      </c>
      <c r="AC29" s="304"/>
      <c r="AD29" s="309">
        <f t="shared" ref="AD29:AD31" si="71">AE29-1</f>
        <v>44536</v>
      </c>
      <c r="AE29" s="310">
        <f t="shared" ref="AE29:AE31" si="72">AF29-1</f>
        <v>44537</v>
      </c>
      <c r="AF29" s="310">
        <f t="shared" ref="AF29:AF31" si="73">AG29-1</f>
        <v>44538</v>
      </c>
      <c r="AG29" s="310">
        <f t="shared" ref="AG29:AG31" si="74">AH29-1</f>
        <v>44539</v>
      </c>
      <c r="AH29" s="310">
        <f t="shared" ref="AH29:AH31" si="75">AI29-1</f>
        <v>44540</v>
      </c>
      <c r="AI29" s="310">
        <f t="shared" ref="AI29:AI31" si="76">AJ29-1</f>
        <v>44541</v>
      </c>
      <c r="AJ29" s="310">
        <f>AJ28+7</f>
        <v>44542</v>
      </c>
      <c r="AK29" s="322">
        <f>IF(AD29="","",INT((9+AD29-MOD(AD29-2,7)-DATE(YEAR(3+AD29-MOD(AD29-2,7)),1,))/7))</f>
        <v>49</v>
      </c>
      <c r="AL29" s="305"/>
    </row>
    <row r="30" spans="2:38" s="306" customFormat="1" ht="25" customHeight="1" x14ac:dyDescent="0.15">
      <c r="B30" s="303"/>
      <c r="C30" s="309">
        <f t="shared" si="53"/>
        <v>44452</v>
      </c>
      <c r="D30" s="310">
        <f t="shared" si="54"/>
        <v>44453</v>
      </c>
      <c r="E30" s="310">
        <f t="shared" si="55"/>
        <v>44454</v>
      </c>
      <c r="F30" s="310">
        <f t="shared" si="56"/>
        <v>44455</v>
      </c>
      <c r="G30" s="310">
        <f t="shared" si="57"/>
        <v>44456</v>
      </c>
      <c r="H30" s="310">
        <f t="shared" si="58"/>
        <v>44457</v>
      </c>
      <c r="I30" s="310">
        <f t="shared" ref="I30:I31" si="77">I29+7</f>
        <v>44458</v>
      </c>
      <c r="J30" s="322">
        <f>IF(C30="","",INT((9+C30-MOD(C30-2,7)-DATE(YEAR(3+C30-MOD(C30-2,7)),1,))/7))</f>
        <v>37</v>
      </c>
      <c r="K30" s="304"/>
      <c r="L30" s="309">
        <f t="shared" si="59"/>
        <v>44480</v>
      </c>
      <c r="M30" s="310">
        <f t="shared" si="60"/>
        <v>44481</v>
      </c>
      <c r="N30" s="310">
        <f t="shared" si="61"/>
        <v>44482</v>
      </c>
      <c r="O30" s="310">
        <f t="shared" si="62"/>
        <v>44483</v>
      </c>
      <c r="P30" s="310">
        <f t="shared" si="63"/>
        <v>44484</v>
      </c>
      <c r="Q30" s="310">
        <f t="shared" si="64"/>
        <v>44485</v>
      </c>
      <c r="R30" s="310">
        <f t="shared" ref="R30:R31" si="78">R29+7</f>
        <v>44486</v>
      </c>
      <c r="S30" s="322">
        <f>IF(L30="","",INT((9+L30-MOD(L30-2,7)-DATE(YEAR(3+L30-MOD(L30-2,7)),1,))/7))</f>
        <v>41</v>
      </c>
      <c r="T30" s="304"/>
      <c r="U30" s="309">
        <f t="shared" si="65"/>
        <v>44515</v>
      </c>
      <c r="V30" s="310">
        <f t="shared" si="66"/>
        <v>44516</v>
      </c>
      <c r="W30" s="310">
        <f t="shared" si="67"/>
        <v>44517</v>
      </c>
      <c r="X30" s="310">
        <f t="shared" si="68"/>
        <v>44518</v>
      </c>
      <c r="Y30" s="310">
        <f t="shared" si="69"/>
        <v>44519</v>
      </c>
      <c r="Z30" s="310">
        <f t="shared" si="70"/>
        <v>44520</v>
      </c>
      <c r="AA30" s="310">
        <f t="shared" ref="AA30:AA31" si="79">AA29+7</f>
        <v>44521</v>
      </c>
      <c r="AB30" s="322">
        <f>IF(U30="","",INT((9+U30-MOD(U30-2,7)-DATE(YEAR(3+U30-MOD(U30-2,7)),1,))/7))</f>
        <v>46</v>
      </c>
      <c r="AC30" s="304"/>
      <c r="AD30" s="309">
        <f t="shared" si="71"/>
        <v>44543</v>
      </c>
      <c r="AE30" s="310">
        <f t="shared" si="72"/>
        <v>44544</v>
      </c>
      <c r="AF30" s="310">
        <f t="shared" si="73"/>
        <v>44545</v>
      </c>
      <c r="AG30" s="310">
        <f t="shared" si="74"/>
        <v>44546</v>
      </c>
      <c r="AH30" s="310">
        <f t="shared" si="75"/>
        <v>44547</v>
      </c>
      <c r="AI30" s="310">
        <f t="shared" si="76"/>
        <v>44548</v>
      </c>
      <c r="AJ30" s="310">
        <f t="shared" ref="AJ30:AJ31" si="80">AJ29+7</f>
        <v>44549</v>
      </c>
      <c r="AK30" s="322">
        <f>IF(AD30="","",INT((9+AD30-MOD(AD30-2,7)-DATE(YEAR(3+AD30-MOD(AD30-2,7)),1,))/7))</f>
        <v>50</v>
      </c>
      <c r="AL30" s="305"/>
    </row>
    <row r="31" spans="2:38" s="306" customFormat="1" ht="25" customHeight="1" x14ac:dyDescent="0.15">
      <c r="B31" s="303"/>
      <c r="C31" s="309">
        <f t="shared" si="53"/>
        <v>44459</v>
      </c>
      <c r="D31" s="310">
        <f t="shared" si="54"/>
        <v>44460</v>
      </c>
      <c r="E31" s="310">
        <f t="shared" si="55"/>
        <v>44461</v>
      </c>
      <c r="F31" s="310">
        <f t="shared" si="56"/>
        <v>44462</v>
      </c>
      <c r="G31" s="310">
        <f t="shared" si="57"/>
        <v>44463</v>
      </c>
      <c r="H31" s="310">
        <f t="shared" si="58"/>
        <v>44464</v>
      </c>
      <c r="I31" s="310">
        <f t="shared" si="77"/>
        <v>44465</v>
      </c>
      <c r="J31" s="322">
        <f>IF(C31="","",INT((9+C31-MOD(C31-2,7)-DATE(YEAR(3+C31-MOD(C31-2,7)),1,))/7))</f>
        <v>38</v>
      </c>
      <c r="K31" s="304"/>
      <c r="L31" s="309">
        <f t="shared" si="59"/>
        <v>44487</v>
      </c>
      <c r="M31" s="310">
        <f t="shared" si="60"/>
        <v>44488</v>
      </c>
      <c r="N31" s="310">
        <f t="shared" si="61"/>
        <v>44489</v>
      </c>
      <c r="O31" s="310">
        <f t="shared" si="62"/>
        <v>44490</v>
      </c>
      <c r="P31" s="310">
        <f t="shared" si="63"/>
        <v>44491</v>
      </c>
      <c r="Q31" s="310">
        <f t="shared" si="64"/>
        <v>44492</v>
      </c>
      <c r="R31" s="310">
        <f t="shared" si="78"/>
        <v>44493</v>
      </c>
      <c r="S31" s="322">
        <f>IF(L31="","",INT((9+L31-MOD(L31-2,7)-DATE(YEAR(3+L31-MOD(L31-2,7)),1,))/7))</f>
        <v>42</v>
      </c>
      <c r="T31" s="304"/>
      <c r="U31" s="309">
        <f t="shared" si="65"/>
        <v>44522</v>
      </c>
      <c r="V31" s="310">
        <f t="shared" si="66"/>
        <v>44523</v>
      </c>
      <c r="W31" s="310">
        <f t="shared" si="67"/>
        <v>44524</v>
      </c>
      <c r="X31" s="310">
        <f t="shared" si="68"/>
        <v>44525</v>
      </c>
      <c r="Y31" s="310">
        <f t="shared" si="69"/>
        <v>44526</v>
      </c>
      <c r="Z31" s="310">
        <f t="shared" si="70"/>
        <v>44527</v>
      </c>
      <c r="AA31" s="310">
        <f t="shared" si="79"/>
        <v>44528</v>
      </c>
      <c r="AB31" s="322">
        <f>IF(U31="","",INT((9+U31-MOD(U31-2,7)-DATE(YEAR(3+U31-MOD(U31-2,7)),1,))/7))</f>
        <v>47</v>
      </c>
      <c r="AC31" s="304"/>
      <c r="AD31" s="309">
        <f t="shared" si="71"/>
        <v>44550</v>
      </c>
      <c r="AE31" s="310">
        <f t="shared" si="72"/>
        <v>44551</v>
      </c>
      <c r="AF31" s="310">
        <f t="shared" si="73"/>
        <v>44552</v>
      </c>
      <c r="AG31" s="310">
        <f t="shared" si="74"/>
        <v>44553</v>
      </c>
      <c r="AH31" s="310">
        <f t="shared" si="75"/>
        <v>44554</v>
      </c>
      <c r="AI31" s="310">
        <f t="shared" si="76"/>
        <v>44555</v>
      </c>
      <c r="AJ31" s="310">
        <f t="shared" si="80"/>
        <v>44556</v>
      </c>
      <c r="AK31" s="322">
        <f>IF(AD31="","",INT((9+AD31-MOD(AD31-2,7)-DATE(YEAR(3+AD31-MOD(AD31-2,7)),1,))/7))</f>
        <v>51</v>
      </c>
      <c r="AL31" s="305"/>
    </row>
    <row r="32" spans="2:38" s="306" customFormat="1" ht="25" customHeight="1" x14ac:dyDescent="0.15">
      <c r="B32" s="303"/>
      <c r="C32" s="309">
        <f>IF(MONTH(I31+1)&lt;&gt;MONTH(I28),"",I31+1)</f>
        <v>44466</v>
      </c>
      <c r="D32" s="310">
        <f>IF(MONTH(I31+2)&lt;&gt;MONTH(I28),"",I31+2)</f>
        <v>44467</v>
      </c>
      <c r="E32" s="310">
        <f>IF(MONTH(I31+3)&lt;&gt;MONTH(I28),"",I31+3)</f>
        <v>44468</v>
      </c>
      <c r="F32" s="310">
        <f>IF(MONTH(I31+4)&lt;&gt;MONTH(I28),"",I31+4)</f>
        <v>44469</v>
      </c>
      <c r="G32" s="310" t="str">
        <f>IF(MONTH(I31+5)&lt;&gt;MONTH(I28),"",I31+5)</f>
        <v/>
      </c>
      <c r="H32" s="310" t="str">
        <f>IF(MONTH(I31+6)&lt;&gt;MONTH(I28),"",I31+6)</f>
        <v/>
      </c>
      <c r="I32" s="310" t="str">
        <f>IF(MONTH(I31+7)&lt;&gt;MONTH(I28),"",I31+7)</f>
        <v/>
      </c>
      <c r="J32" s="322">
        <f>IF(C32="","",INT((9+C32-MOD(C32-2,7)-DATE(YEAR(3+C32-MOD(C32-2,7)),1,))/7))</f>
        <v>39</v>
      </c>
      <c r="K32" s="304"/>
      <c r="L32" s="309">
        <f>IF(MONTH(R31+1)&lt;&gt;MONTH(R28),"",R31+1)</f>
        <v>44494</v>
      </c>
      <c r="M32" s="310">
        <f>IF(MONTH(R31+2)&lt;&gt;MONTH(R28),"",R31+2)</f>
        <v>44495</v>
      </c>
      <c r="N32" s="310">
        <f>IF(MONTH(R31+3)&lt;&gt;MONTH(R28),"",R31+3)</f>
        <v>44496</v>
      </c>
      <c r="O32" s="310">
        <f>IF(MONTH(R31+4)&lt;&gt;MONTH(R28),"",R31+4)</f>
        <v>44497</v>
      </c>
      <c r="P32" s="310">
        <f>IF(MONTH(R31+5)&lt;&gt;MONTH(R28),"",R31+5)</f>
        <v>44498</v>
      </c>
      <c r="Q32" s="310">
        <f>IF(MONTH(R31+6)&lt;&gt;MONTH(R28),"",R31+6)</f>
        <v>44499</v>
      </c>
      <c r="R32" s="310">
        <f>IF(MONTH(R31+7)&lt;&gt;MONTH(R28),"",R31+7)</f>
        <v>44500</v>
      </c>
      <c r="S32" s="322">
        <f>IF(L32="","",INT((9+L32-MOD(L32-2,7)-DATE(YEAR(3+L32-MOD(L32-2,7)),1,))/7))</f>
        <v>43</v>
      </c>
      <c r="T32" s="304"/>
      <c r="U32" s="309">
        <f>IF(MONTH(AA31+1)&lt;&gt;MONTH(AA28),"",AA31+1)</f>
        <v>44529</v>
      </c>
      <c r="V32" s="310">
        <f>IF(MONTH(AA31+2)&lt;&gt;MONTH(AA28),"",AA31+2)</f>
        <v>44530</v>
      </c>
      <c r="W32" s="310" t="str">
        <f>IF(MONTH(AA31+3)&lt;&gt;MONTH(AA28),"",AA31+3)</f>
        <v/>
      </c>
      <c r="X32" s="310" t="str">
        <f>IF(MONTH(AA31+4)&lt;&gt;MONTH(AA28),"",AA31+4)</f>
        <v/>
      </c>
      <c r="Y32" s="310" t="str">
        <f>IF(MONTH(AA31+5)&lt;&gt;MONTH(AA28),"",AA31+5)</f>
        <v/>
      </c>
      <c r="Z32" s="310" t="str">
        <f>IF(MONTH(AA31+6)&lt;&gt;MONTH(AA28),"",AA31+6)</f>
        <v/>
      </c>
      <c r="AA32" s="310" t="str">
        <f>IF(MONTH(AA31+7)&lt;&gt;MONTH(AA28),"",AA31+7)</f>
        <v/>
      </c>
      <c r="AB32" s="322">
        <f>IF(U32="","",INT((9+U32-MOD(U32-2,7)-DATE(YEAR(3+U32-MOD(U32-2,7)),1,))/7))</f>
        <v>48</v>
      </c>
      <c r="AC32" s="304"/>
      <c r="AD32" s="309">
        <f>IF(MONTH(AJ31+1)&lt;&gt;MONTH(AJ28),"",AJ31+1)</f>
        <v>44557</v>
      </c>
      <c r="AE32" s="310">
        <f>IF(MONTH(AJ31+2)&lt;&gt;MONTH(AJ28),"",AJ31+2)</f>
        <v>44558</v>
      </c>
      <c r="AF32" s="310">
        <f>IF(MONTH(AJ31+3)&lt;&gt;MONTH(AJ28),"",AJ31+3)</f>
        <v>44559</v>
      </c>
      <c r="AG32" s="310">
        <f>IF(MONTH(AJ31+4)&lt;&gt;MONTH(AJ28),"",AJ31+4)</f>
        <v>44560</v>
      </c>
      <c r="AH32" s="310">
        <f>IF(MONTH(AJ31+5)&lt;&gt;MONTH(AJ28),"",AJ31+5)</f>
        <v>44561</v>
      </c>
      <c r="AI32" s="310" t="str">
        <f>IF(MONTH(AJ31+6)&lt;&gt;MONTH(AJ28),"",AJ31+6)</f>
        <v/>
      </c>
      <c r="AJ32" s="310" t="str">
        <f>IF(MONTH(AJ31+7)&lt;&gt;MONTH(AJ28),"",AJ31+7)</f>
        <v/>
      </c>
      <c r="AK32" s="322">
        <f>IF(AD32="","",INT((9+AD32-MOD(AD32-2,7)-DATE(YEAR(3+AD32-MOD(AD32-2,7)),1,))/7))</f>
        <v>52</v>
      </c>
      <c r="AL32" s="305"/>
    </row>
    <row r="33" spans="2:38" s="306" customFormat="1" ht="25" customHeight="1" thickBot="1" x14ac:dyDescent="0.2">
      <c r="B33" s="303"/>
      <c r="C33" s="311" t="str">
        <f>IF(MONTH(I31+8)&lt;&gt;MONTH(I28),"",I31+8)</f>
        <v/>
      </c>
      <c r="D33" s="312" t="str">
        <f>IF(MONTH(I31+9)&lt;&gt;MONTH(I28),"",I31+9)</f>
        <v/>
      </c>
      <c r="E33" s="312" t="str">
        <f>IF(MONTH(I31+10)&lt;&gt;MONTH(I28),"",I31+10)</f>
        <v/>
      </c>
      <c r="F33" s="312" t="str">
        <f>IF(MONTH(I31+11)&lt;&gt;MONTH(I28),"",I31+11)</f>
        <v/>
      </c>
      <c r="G33" s="312" t="str">
        <f>IF(MONTH(I31+12)&lt;&gt;MONTH(I28),"",I31+12)</f>
        <v/>
      </c>
      <c r="H33" s="312" t="str">
        <f>IF(MONTH(I31+13)&lt;&gt;MONTH(I28),"",I31+13)</f>
        <v/>
      </c>
      <c r="I33" s="312" t="str">
        <f>IF(MONTH(I31+14)&lt;&gt;MONTH(I28),"",I31+14)</f>
        <v/>
      </c>
      <c r="J33" s="323" t="str">
        <f>IF(C33="","",INT((9+C33-MOD(C33-2,7)-DATE(YEAR(3+C33-MOD(C33-2,7)),1,))/7))</f>
        <v/>
      </c>
      <c r="K33" s="304"/>
      <c r="L33" s="311" t="str">
        <f>IF(MONTH(R31+8)&lt;&gt;MONTH(R28),"",R31+8)</f>
        <v/>
      </c>
      <c r="M33" s="312" t="str">
        <f>IF(MONTH(R31+9)&lt;&gt;MONTH(R28),"",R31+9)</f>
        <v/>
      </c>
      <c r="N33" s="312" t="str">
        <f>IF(MONTH(R31+10)&lt;&gt;MONTH(R28),"",R31+10)</f>
        <v/>
      </c>
      <c r="O33" s="312" t="str">
        <f>IF(MONTH(R31+11)&lt;&gt;MONTH(R28),"",R31+11)</f>
        <v/>
      </c>
      <c r="P33" s="312" t="str">
        <f>IF(MONTH(R31+12)&lt;&gt;MONTH(R28),"",R31+12)</f>
        <v/>
      </c>
      <c r="Q33" s="312" t="str">
        <f>IF(MONTH(R31+13)&lt;&gt;MONTH(R28),"",R31+13)</f>
        <v/>
      </c>
      <c r="R33" s="312" t="str">
        <f>IF(MONTH(R31+14)&lt;&gt;MONTH(R28),"",R31+14)</f>
        <v/>
      </c>
      <c r="S33" s="323" t="str">
        <f>IF(L33="","",INT((9+L33-MOD(L33-2,7)-DATE(YEAR(3+L33-MOD(L33-2,7)),1,))/7))</f>
        <v/>
      </c>
      <c r="T33" s="304"/>
      <c r="U33" s="311" t="str">
        <f>IF(MONTH(AA31+8)&lt;&gt;MONTH(AA28),"",AA31+8)</f>
        <v/>
      </c>
      <c r="V33" s="312" t="str">
        <f>IF(MONTH(AA31+9)&lt;&gt;MONTH(AA28),"",AA31+9)</f>
        <v/>
      </c>
      <c r="W33" s="312" t="str">
        <f>IF(MONTH(AA31+10)&lt;&gt;MONTH(AA28),"",AA31+10)</f>
        <v/>
      </c>
      <c r="X33" s="312" t="str">
        <f>IF(MONTH(AA31+11)&lt;&gt;MONTH(AA28),"",AA31+11)</f>
        <v/>
      </c>
      <c r="Y33" s="312" t="str">
        <f>IF(MONTH(AA31+12)&lt;&gt;MONTH(AA28),"",AA31+12)</f>
        <v/>
      </c>
      <c r="Z33" s="312" t="str">
        <f>IF(MONTH(AA31+13)&lt;&gt;MONTH(AA28),"",AA31+13)</f>
        <v/>
      </c>
      <c r="AA33" s="312" t="str">
        <f>IF(MONTH(AA31+14)&lt;&gt;MONTH(AA28),"",AA31+14)</f>
        <v/>
      </c>
      <c r="AB33" s="323" t="str">
        <f>IF(U33="","",INT((9+U33-MOD(U33-2,7)-DATE(YEAR(3+U33-MOD(U33-2,7)),1,))/7))</f>
        <v/>
      </c>
      <c r="AC33" s="304"/>
      <c r="AD33" s="311" t="str">
        <f>IF(MONTH(AJ31+8)&lt;&gt;MONTH(AJ28),"",AJ31+8)</f>
        <v/>
      </c>
      <c r="AE33" s="312" t="str">
        <f>IF(MONTH(AJ31+9)&lt;&gt;MONTH(AJ28),"",AJ31+9)</f>
        <v/>
      </c>
      <c r="AF33" s="312" t="str">
        <f>IF(MONTH(AJ31+10)&lt;&gt;MONTH(AJ28),"",AJ31+10)</f>
        <v/>
      </c>
      <c r="AG33" s="312" t="str">
        <f>IF(MONTH(AJ31+11)&lt;&gt;MONTH(AJ28),"",AJ31+11)</f>
        <v/>
      </c>
      <c r="AH33" s="312" t="str">
        <f>IF(MONTH(AJ31+12)&lt;&gt;MONTH(AJ28),"",AJ31+12)</f>
        <v/>
      </c>
      <c r="AI33" s="312" t="str">
        <f>IF(MONTH(AJ31+13)&lt;&gt;MONTH(AJ28),"",AJ31+13)</f>
        <v/>
      </c>
      <c r="AJ33" s="312" t="str">
        <f>IF(MONTH(AJ31+14)&lt;&gt;MONTH(AJ28),"",AJ31+14)</f>
        <v/>
      </c>
      <c r="AK33" s="323" t="str">
        <f>IF(AD33="","",INT((9+AD33-MOD(AD33-2,7)-DATE(YEAR(3+AD33-MOD(AD33-2,7)),1,))/7))</f>
        <v/>
      </c>
      <c r="AL33" s="305"/>
    </row>
    <row r="34" spans="2:38" x14ac:dyDescent="0.2">
      <c r="B34" s="288"/>
      <c r="C34" s="289"/>
      <c r="D34" s="289"/>
      <c r="E34" s="289"/>
      <c r="F34" s="289"/>
      <c r="G34" s="289"/>
      <c r="H34" s="289"/>
      <c r="I34" s="289"/>
      <c r="J34" s="318"/>
      <c r="K34" s="289"/>
      <c r="L34" s="289"/>
      <c r="M34" s="289"/>
      <c r="N34" s="289"/>
      <c r="O34" s="289"/>
      <c r="P34" s="289"/>
      <c r="Q34" s="289"/>
      <c r="R34" s="289"/>
      <c r="S34" s="318"/>
      <c r="T34" s="289"/>
      <c r="U34" s="289"/>
      <c r="V34" s="289"/>
      <c r="W34" s="289"/>
      <c r="X34" s="289"/>
      <c r="Y34" s="289"/>
      <c r="Z34" s="289"/>
      <c r="AA34" s="289"/>
      <c r="AB34" s="318"/>
      <c r="AC34" s="289"/>
      <c r="AD34" s="289"/>
      <c r="AE34" s="289"/>
      <c r="AF34" s="289"/>
      <c r="AG34" s="289"/>
      <c r="AH34" s="289"/>
      <c r="AI34" s="289"/>
      <c r="AJ34" s="289"/>
      <c r="AK34" s="318"/>
      <c r="AL34" s="290"/>
    </row>
  </sheetData>
  <sheetProtection sheet="1" objects="1" scenarios="1"/>
  <mergeCells count="14">
    <mergeCell ref="S3:AJ3"/>
    <mergeCell ref="C3:R3"/>
    <mergeCell ref="AD25:AK25"/>
    <mergeCell ref="U25:AB25"/>
    <mergeCell ref="L25:S25"/>
    <mergeCell ref="C25:J25"/>
    <mergeCell ref="C5:J5"/>
    <mergeCell ref="L5:S5"/>
    <mergeCell ref="U5:AB5"/>
    <mergeCell ref="AD5:AK5"/>
    <mergeCell ref="L15:S15"/>
    <mergeCell ref="C15:J15"/>
    <mergeCell ref="AD15:AK15"/>
    <mergeCell ref="U15:AB15"/>
  </mergeCells>
  <phoneticPr fontId="7" type="noConversion"/>
  <conditionalFormatting sqref="H8:I13">
    <cfRule type="notContainsBlanks" dxfId="4662" priority="107">
      <formula>LEN(TRIM(H8))&gt;0</formula>
    </cfRule>
  </conditionalFormatting>
  <conditionalFormatting sqref="S3:AJ3">
    <cfRule type="expression" dxfId="4661" priority="101">
      <formula>$Z$2&lt;&gt;""</formula>
    </cfRule>
  </conditionalFormatting>
  <conditionalFormatting sqref="H8:I13">
    <cfRule type="timePeriod" dxfId="4660" priority="98" timePeriod="today">
      <formula>FLOOR(H8,1)=TODAY()</formula>
    </cfRule>
  </conditionalFormatting>
  <conditionalFormatting sqref="C8:G13">
    <cfRule type="timePeriod" dxfId="4659" priority="94" timePeriod="today">
      <formula>FLOOR(C8,1)=TODAY()</formula>
    </cfRule>
  </conditionalFormatting>
  <conditionalFormatting sqref="C5">
    <cfRule type="expression" dxfId="4658" priority="65">
      <formula>C5&lt;&gt;""</formula>
    </cfRule>
  </conditionalFormatting>
  <conditionalFormatting sqref="L5">
    <cfRule type="expression" dxfId="4657" priority="42">
      <formula>L5&lt;&gt;""</formula>
    </cfRule>
  </conditionalFormatting>
  <conditionalFormatting sqref="AD25 U25 L25 C25 AD15 U15 L15 C15 AD5 U5">
    <cfRule type="expression" dxfId="4656" priority="41">
      <formula>C5&lt;&gt;""</formula>
    </cfRule>
  </conditionalFormatting>
  <conditionalFormatting sqref="J8:J13">
    <cfRule type="notContainsBlanks" dxfId="4655" priority="15">
      <formula>LEN(TRIM(J8))&gt;0</formula>
    </cfRule>
  </conditionalFormatting>
  <conditionalFormatting sqref="AK8:AK13 AB8:AB13 S8:S13">
    <cfRule type="notContainsBlanks" dxfId="4654" priority="14">
      <formula>LEN(TRIM(S8))&gt;0</formula>
    </cfRule>
  </conditionalFormatting>
  <conditionalFormatting sqref="AK28:AK33 AB28:AB33 S28:S33 J28:J33 AK18:AK23 AB18:AB23 S18:S23 J18:J23">
    <cfRule type="notContainsBlanks" dxfId="4653" priority="13">
      <formula>LEN(TRIM(J18))&gt;0</formula>
    </cfRule>
  </conditionalFormatting>
  <conditionalFormatting sqref="AI8:AJ13 Z8:AA13 Q8:R13">
    <cfRule type="notContainsBlanks" dxfId="4652" priority="12">
      <formula>LEN(TRIM(Q8))&gt;0</formula>
    </cfRule>
  </conditionalFormatting>
  <conditionalFormatting sqref="AI8:AJ13 Z8:AA13 Q8:R13">
    <cfRule type="timePeriod" dxfId="4651" priority="11" timePeriod="today">
      <formula>FLOOR(Q8,1)=TODAY()</formula>
    </cfRule>
  </conditionalFormatting>
  <conditionalFormatting sqref="AD8:AH13 U8:Y13 L8:P13">
    <cfRule type="timePeriod" dxfId="4650" priority="10" timePeriod="today">
      <formula>FLOOR(L8,1)=TODAY()</formula>
    </cfRule>
  </conditionalFormatting>
  <conditionalFormatting sqref="AI18:AJ23 Z18:AA23 Q18:R23 H18:I23">
    <cfRule type="notContainsBlanks" dxfId="4649" priority="8">
      <formula>LEN(TRIM(H18))&gt;0</formula>
    </cfRule>
  </conditionalFormatting>
  <conditionalFormatting sqref="AI18:AJ23 Z18:AA23 Q18:R23 H18:I23">
    <cfRule type="timePeriod" dxfId="4648" priority="7" timePeriod="today">
      <formula>FLOOR(H18,1)=TODAY()</formula>
    </cfRule>
  </conditionalFormatting>
  <conditionalFormatting sqref="AD18:AH23 U18:Y23 L18:P23 C18:G23">
    <cfRule type="timePeriod" dxfId="4647" priority="6" timePeriod="today">
      <formula>FLOOR(C18,1)=TODAY()</formula>
    </cfRule>
  </conditionalFormatting>
  <conditionalFormatting sqref="AI28:AJ33 Z28:AA33 Q28:R33 H28:I33">
    <cfRule type="notContainsBlanks" dxfId="4646" priority="4">
      <formula>LEN(TRIM(H28))&gt;0</formula>
    </cfRule>
  </conditionalFormatting>
  <conditionalFormatting sqref="AI28:AJ33 Z28:AA33 Q28:R33 H28:I33">
    <cfRule type="timePeriod" dxfId="4645" priority="3" timePeriod="today">
      <formula>FLOOR(H28,1)=TODAY()</formula>
    </cfRule>
  </conditionalFormatting>
  <conditionalFormatting sqref="AD28:AH33 U28:Y33 L28:P33 C28:G33">
    <cfRule type="timePeriod" dxfId="4644" priority="2" timePeriod="today">
      <formula>FLOOR(C28,1)=TODAY()</formula>
    </cfRule>
  </conditionalFormatting>
  <printOptions horizontalCentered="1" verticalCentered="1"/>
  <pageMargins left="0.36000000000000004" right="0.36000000000000004" top="0.41000000000000009" bottom="0.41000000000000009" header="0" footer="0"/>
  <pageSetup paperSize="9" scale="70" orientation="landscape"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cellIs" priority="93" operator="equal" id="{CA4D13A9-5DED-0447-9EA7-A4E50E793780}">
            <xm:f>VLOOKUP(C8,Calculs!$D$6:$D$36,1,FALSE)</xm:f>
            <x14:dxf>
              <font>
                <color theme="4" tint="-0.249977111117893"/>
              </font>
              <fill>
                <patternFill patternType="solid">
                  <fgColor indexed="64"/>
                  <bgColor theme="3" tint="0.79998168889431442"/>
                </patternFill>
              </fill>
            </x14:dxf>
          </x14:cfRule>
          <xm:sqref>C8:G13 U8:Y13 L8:P13 U18:Y23 L18:P23 C18:G23 U28:Y33 L28:P33 C28:G33</xm:sqref>
        </x14:conditionalFormatting>
        <x14:conditionalFormatting xmlns:xm="http://schemas.microsoft.com/office/excel/2006/main">
          <x14:cfRule type="cellIs" priority="9" operator="equal" id="{E07BE7C7-1FFE-1045-B22F-5200113DE35C}">
            <xm:f>VLOOKUP(AD8,Calculs!$D$6:$D$36,1,FALSE)</xm:f>
            <x14:dxf>
              <font>
                <color theme="4" tint="-0.249977111117893"/>
              </font>
              <fill>
                <patternFill patternType="solid">
                  <fgColor indexed="64"/>
                  <bgColor theme="3" tint="0.79998168889431442"/>
                </patternFill>
              </fill>
            </x14:dxf>
          </x14:cfRule>
          <xm:sqref>AD8:AH13</xm:sqref>
        </x14:conditionalFormatting>
        <x14:conditionalFormatting xmlns:xm="http://schemas.microsoft.com/office/excel/2006/main">
          <x14:cfRule type="cellIs" priority="5" operator="equal" id="{19E8DFD6-F085-964D-B462-EA867D844786}">
            <xm:f>VLOOKUP(AD18,Calculs!$D$6:$D$36,1,FALSE)</xm:f>
            <x14:dxf>
              <font>
                <color theme="4" tint="-0.249977111117893"/>
              </font>
              <fill>
                <patternFill patternType="solid">
                  <fgColor indexed="64"/>
                  <bgColor theme="3" tint="0.79998168889431442"/>
                </patternFill>
              </fill>
            </x14:dxf>
          </x14:cfRule>
          <xm:sqref>AD18:AH23</xm:sqref>
        </x14:conditionalFormatting>
        <x14:conditionalFormatting xmlns:xm="http://schemas.microsoft.com/office/excel/2006/main">
          <x14:cfRule type="cellIs" priority="1" operator="equal" id="{846F4974-6883-8D46-949A-BE8A52663CD9}">
            <xm:f>VLOOKUP(AD28,Calculs!$D$6:$D$36,1,FALSE)</xm:f>
            <x14:dxf>
              <font>
                <color theme="4" tint="-0.249977111117893"/>
              </font>
              <fill>
                <patternFill patternType="solid">
                  <fgColor indexed="64"/>
                  <bgColor theme="3" tint="0.79998168889431442"/>
                </patternFill>
              </fill>
            </x14:dxf>
          </x14:cfRule>
          <xm:sqref>AD28:AH33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3366FF"/>
    <pageSetUpPr autoPageBreaks="0" fitToPage="1"/>
  </sheetPr>
  <dimension ref="A1:AW136"/>
  <sheetViews>
    <sheetView showGridLines="0" workbookViewId="0">
      <selection activeCell="V121" sqref="V121"/>
    </sheetView>
  </sheetViews>
  <sheetFormatPr baseColWidth="10" defaultColWidth="10.83203125" defaultRowHeight="18" x14ac:dyDescent="0.2"/>
  <cols>
    <col min="1" max="1" width="2" style="2" customWidth="1"/>
    <col min="2" max="2" width="4" style="25" customWidth="1"/>
    <col min="3" max="3" width="3.83203125" style="25" bestFit="1" customWidth="1"/>
    <col min="4" max="4" width="2.33203125" style="26" hidden="1" customWidth="1"/>
    <col min="5" max="5" width="2.1640625" style="501" customWidth="1"/>
    <col min="6" max="6" width="15" style="27" customWidth="1"/>
    <col min="7" max="7" width="4.1640625" style="27" customWidth="1"/>
    <col min="8" max="8" width="3.1640625" style="29" customWidth="1"/>
    <col min="9" max="9" width="1.5" style="2" customWidth="1"/>
    <col min="10" max="10" width="4" style="25" customWidth="1"/>
    <col min="11" max="11" width="3.83203125" style="25" bestFit="1" customWidth="1"/>
    <col min="12" max="12" width="3.1640625" style="26" hidden="1" customWidth="1"/>
    <col min="13" max="13" width="2.1640625" style="501" customWidth="1"/>
    <col min="14" max="14" width="15" style="27" customWidth="1"/>
    <col min="15" max="15" width="4.1640625" style="27" customWidth="1"/>
    <col min="16" max="16" width="3.1640625" style="29" customWidth="1"/>
    <col min="17" max="17" width="1.5" style="2" customWidth="1"/>
    <col min="18" max="18" width="4" style="25" customWidth="1"/>
    <col min="19" max="19" width="3.83203125" style="25" bestFit="1" customWidth="1"/>
    <col min="20" max="20" width="3.1640625" style="26" hidden="1" customWidth="1"/>
    <col min="21" max="21" width="2.1640625" style="501" customWidth="1"/>
    <col min="22" max="22" width="15" style="27" customWidth="1"/>
    <col min="23" max="23" width="4.1640625" style="27" customWidth="1"/>
    <col min="24" max="24" width="3.1640625" style="29" customWidth="1"/>
    <col min="25" max="25" width="1.5" style="2" customWidth="1"/>
    <col min="26" max="26" width="4" style="25" customWidth="1"/>
    <col min="27" max="27" width="3.83203125" style="25" bestFit="1" customWidth="1"/>
    <col min="28" max="28" width="3.1640625" style="26" hidden="1" customWidth="1"/>
    <col min="29" max="29" width="2.1640625" style="501" customWidth="1"/>
    <col min="30" max="30" width="15" style="27" customWidth="1"/>
    <col min="31" max="31" width="4.1640625" style="27" customWidth="1"/>
    <col min="32" max="32" width="3.1640625" style="29" customWidth="1"/>
    <col min="33" max="33" width="1.5" style="2" customWidth="1"/>
    <col min="34" max="34" width="4" style="25" customWidth="1"/>
    <col min="35" max="35" width="4.33203125" style="25" customWidth="1"/>
    <col min="36" max="36" width="3.1640625" style="26" hidden="1" customWidth="1"/>
    <col min="37" max="37" width="2.1640625" style="501" customWidth="1"/>
    <col min="38" max="38" width="15" style="27" customWidth="1"/>
    <col min="39" max="39" width="4.1640625" style="27" customWidth="1"/>
    <col min="40" max="40" width="3.1640625" style="29" customWidth="1"/>
    <col min="41" max="41" width="1.5" style="2" customWidth="1"/>
    <col min="42" max="42" width="4" style="25" customWidth="1"/>
    <col min="43" max="43" width="3.83203125" style="25" bestFit="1" customWidth="1"/>
    <col min="44" max="44" width="3.1640625" style="26" hidden="1" customWidth="1"/>
    <col min="45" max="45" width="2.1640625" style="501" customWidth="1"/>
    <col min="46" max="46" width="15" style="27" customWidth="1"/>
    <col min="47" max="47" width="4.1640625" style="27" customWidth="1"/>
    <col min="48" max="48" width="3.1640625" style="29" customWidth="1"/>
    <col min="49" max="49" width="2" style="2" customWidth="1"/>
    <col min="50" max="16384" width="10.83203125" style="2"/>
  </cols>
  <sheetData>
    <row r="1" spans="1:49" x14ac:dyDescent="0.2">
      <c r="A1" s="115"/>
      <c r="B1" s="398"/>
      <c r="C1" s="398"/>
      <c r="D1" s="399"/>
      <c r="E1" s="494"/>
      <c r="F1" s="400"/>
      <c r="G1" s="400"/>
      <c r="H1" s="401"/>
      <c r="I1" s="117"/>
      <c r="J1" s="398"/>
      <c r="K1" s="398"/>
      <c r="L1" s="399"/>
      <c r="M1" s="494"/>
      <c r="N1" s="400"/>
      <c r="O1" s="400"/>
      <c r="P1" s="401"/>
      <c r="Q1" s="117"/>
      <c r="R1" s="398"/>
      <c r="S1" s="398"/>
      <c r="T1" s="399"/>
      <c r="U1" s="494"/>
      <c r="V1" s="400"/>
      <c r="W1" s="400"/>
      <c r="X1" s="401"/>
      <c r="Y1" s="117"/>
      <c r="Z1" s="398"/>
      <c r="AA1" s="398"/>
      <c r="AB1" s="399"/>
      <c r="AC1" s="494"/>
      <c r="AD1" s="400"/>
      <c r="AE1" s="400"/>
      <c r="AF1" s="401"/>
      <c r="AG1" s="117"/>
      <c r="AH1" s="398"/>
      <c r="AI1" s="398"/>
      <c r="AJ1" s="399"/>
      <c r="AK1" s="494"/>
      <c r="AL1" s="400"/>
      <c r="AM1" s="400"/>
      <c r="AN1" s="401"/>
      <c r="AO1" s="117"/>
      <c r="AP1" s="398"/>
      <c r="AQ1" s="398"/>
      <c r="AR1" s="399"/>
      <c r="AS1" s="494"/>
      <c r="AT1" s="400"/>
      <c r="AU1" s="400"/>
      <c r="AV1" s="401"/>
      <c r="AW1" s="118"/>
    </row>
    <row r="2" spans="1:49" ht="40" customHeight="1" thickBot="1" x14ac:dyDescent="0.2">
      <c r="A2" s="119"/>
      <c r="B2" s="529"/>
      <c r="C2" s="530"/>
      <c r="D2" s="530"/>
      <c r="E2" s="530"/>
      <c r="F2" s="530"/>
      <c r="G2" s="530"/>
      <c r="H2" s="530"/>
      <c r="I2" s="530"/>
      <c r="J2" s="530"/>
      <c r="K2" s="530"/>
      <c r="L2" s="530"/>
      <c r="M2" s="530"/>
      <c r="N2" s="530"/>
      <c r="O2" s="530"/>
      <c r="P2" s="530"/>
      <c r="Q2" s="530"/>
      <c r="R2" s="530"/>
      <c r="S2" s="530"/>
      <c r="T2" s="530"/>
      <c r="U2" s="530"/>
      <c r="V2" s="530"/>
      <c r="W2" s="530"/>
      <c r="X2" s="530"/>
      <c r="Y2" s="397"/>
      <c r="Z2" s="531" t="str">
        <f>CONCATENATE( Introduction!D3," ",Plage_Cal)</f>
        <v>Mon calendrier 2021</v>
      </c>
      <c r="AA2" s="532"/>
      <c r="AB2" s="532"/>
      <c r="AC2" s="532"/>
      <c r="AD2" s="532"/>
      <c r="AE2" s="532"/>
      <c r="AF2" s="532"/>
      <c r="AG2" s="532"/>
      <c r="AH2" s="532"/>
      <c r="AI2" s="532"/>
      <c r="AJ2" s="532"/>
      <c r="AK2" s="532"/>
      <c r="AL2" s="532"/>
      <c r="AM2" s="532"/>
      <c r="AN2" s="532"/>
      <c r="AO2" s="532"/>
      <c r="AP2" s="532"/>
      <c r="AQ2" s="532"/>
      <c r="AR2" s="532"/>
      <c r="AS2" s="532"/>
      <c r="AT2" s="532"/>
      <c r="AU2" s="532"/>
      <c r="AV2" s="376"/>
      <c r="AW2" s="126"/>
    </row>
    <row r="3" spans="1:49" ht="18" customHeight="1" x14ac:dyDescent="0.2">
      <c r="A3" s="119"/>
      <c r="B3" s="33"/>
      <c r="C3" s="370" t="str">
        <f ca="1">CONCATENATE("© Jean-Jacques Rey"," — ",MID(CELL("filename",A1),FIND("[",CELL("filename",A1))+1,SUM(FIND({"[";"]"},CELL("filename",A1))*{-1;1})-6))</f>
        <v>© Jean-Jacques Rey — My e-Calendar v2.6 public</v>
      </c>
      <c r="D3" s="34"/>
      <c r="E3" s="495"/>
      <c r="F3" s="35"/>
      <c r="G3" s="35"/>
      <c r="H3" s="36"/>
      <c r="I3" s="32"/>
      <c r="J3" s="33"/>
      <c r="K3" s="33"/>
      <c r="L3" s="34"/>
      <c r="M3" s="495"/>
      <c r="N3" s="35"/>
      <c r="O3" s="35"/>
      <c r="P3" s="36"/>
      <c r="Q3" s="32"/>
      <c r="R3" s="33"/>
      <c r="S3" s="33"/>
      <c r="T3" s="34"/>
      <c r="U3" s="495"/>
      <c r="V3" s="35"/>
      <c r="W3" s="35"/>
      <c r="X3" s="36"/>
      <c r="Y3" s="32"/>
      <c r="Z3" s="33"/>
      <c r="AA3" s="33"/>
      <c r="AB3" s="34"/>
      <c r="AC3" s="495"/>
      <c r="AD3" s="35"/>
      <c r="AE3" s="35"/>
      <c r="AF3" s="36"/>
      <c r="AG3" s="32"/>
      <c r="AH3" s="33"/>
      <c r="AI3" s="149" t="str">
        <f>IF(Introduction!$D$4="","",Introduction!$D$4)</f>
        <v/>
      </c>
      <c r="AJ3" s="34"/>
      <c r="AK3" s="495"/>
      <c r="AL3" s="35"/>
      <c r="AM3" s="35"/>
      <c r="AN3" s="36"/>
      <c r="AO3" s="32"/>
      <c r="AP3" s="33"/>
      <c r="AQ3" s="33"/>
      <c r="AR3" s="34"/>
      <c r="AS3" s="495"/>
      <c r="AT3" s="35"/>
      <c r="AU3" s="35"/>
      <c r="AV3" s="36"/>
      <c r="AW3" s="126"/>
    </row>
    <row r="4" spans="1:49" ht="24" customHeight="1" thickBot="1" x14ac:dyDescent="0.2">
      <c r="A4" s="119"/>
      <c r="B4" s="526" t="str">
        <f>IF(Calculs!$C$90&lt;&gt;Calculs!$C$91,UPPER(TEXT(C6,"mmmm aa")),UPPER(TEXT(C6,"mmmm")))</f>
        <v>JANVIER</v>
      </c>
      <c r="C4" s="527"/>
      <c r="D4" s="527"/>
      <c r="E4" s="527"/>
      <c r="F4" s="527"/>
      <c r="G4" s="374" t="s">
        <v>26</v>
      </c>
      <c r="H4" s="375" t="s">
        <v>25</v>
      </c>
      <c r="I4" s="39"/>
      <c r="J4" s="526" t="str">
        <f>IF(Calculs!$C$90&lt;&gt;Calculs!$C$91,UPPER(TEXT(K6,"mmmm aa")),UPPER(TEXT(K6,"mmmm")))</f>
        <v>FÉVRIER</v>
      </c>
      <c r="K4" s="527"/>
      <c r="L4" s="527"/>
      <c r="M4" s="527"/>
      <c r="N4" s="527"/>
      <c r="O4" s="374" t="s">
        <v>26</v>
      </c>
      <c r="P4" s="375" t="s">
        <v>25</v>
      </c>
      <c r="Q4" s="40"/>
      <c r="R4" s="526" t="str">
        <f>IF(Calculs!$C$90&lt;&gt;Calculs!$C$91,UPPER(TEXT(S6,"mmmm aa")),UPPER(TEXT(S6,"mmmm")))</f>
        <v>MARS</v>
      </c>
      <c r="S4" s="527"/>
      <c r="T4" s="527"/>
      <c r="U4" s="527"/>
      <c r="V4" s="527"/>
      <c r="W4" s="374" t="s">
        <v>26</v>
      </c>
      <c r="X4" s="375" t="s">
        <v>25</v>
      </c>
      <c r="Y4" s="40"/>
      <c r="Z4" s="526" t="str">
        <f>IF(Calculs!$C$90&lt;&gt;Calculs!$C$91,UPPER(TEXT(AA6,"mmmm aa")),UPPER(TEXT(AA6,"mmmm")))</f>
        <v>AVRIL</v>
      </c>
      <c r="AA4" s="527"/>
      <c r="AB4" s="527"/>
      <c r="AC4" s="527"/>
      <c r="AD4" s="527"/>
      <c r="AE4" s="374" t="s">
        <v>26</v>
      </c>
      <c r="AF4" s="375" t="s">
        <v>25</v>
      </c>
      <c r="AG4" s="40"/>
      <c r="AH4" s="526" t="str">
        <f>IF(Calculs!$C$90&lt;&gt;Calculs!$C$91,UPPER(TEXT(AI6,"mmmm aa")),UPPER(TEXT(AI6,"mmmm")))</f>
        <v>MAI</v>
      </c>
      <c r="AI4" s="527"/>
      <c r="AJ4" s="527"/>
      <c r="AK4" s="527"/>
      <c r="AL4" s="527"/>
      <c r="AM4" s="374" t="s">
        <v>26</v>
      </c>
      <c r="AN4" s="375" t="s">
        <v>25</v>
      </c>
      <c r="AO4" s="40"/>
      <c r="AP4" s="526" t="str">
        <f>IF(Calculs!$C$90&lt;&gt;Calculs!$C$91,UPPER(TEXT(AQ6,"mmmm aa")),UPPER(TEXT(AQ6,"mmmm")))</f>
        <v>JUIN</v>
      </c>
      <c r="AQ4" s="527"/>
      <c r="AR4" s="527"/>
      <c r="AS4" s="527"/>
      <c r="AT4" s="527"/>
      <c r="AU4" s="374" t="s">
        <v>26</v>
      </c>
      <c r="AV4" s="375" t="s">
        <v>25</v>
      </c>
      <c r="AW4" s="126"/>
    </row>
    <row r="5" spans="1:49" ht="7" customHeight="1" x14ac:dyDescent="0.15">
      <c r="A5" s="119"/>
      <c r="B5" s="41"/>
      <c r="C5" s="41"/>
      <c r="D5" s="41"/>
      <c r="E5" s="496"/>
      <c r="F5" s="41"/>
      <c r="G5" s="41"/>
      <c r="H5" s="42"/>
      <c r="I5" s="43"/>
      <c r="J5" s="41"/>
      <c r="K5" s="41"/>
      <c r="L5" s="41"/>
      <c r="M5" s="496"/>
      <c r="N5" s="41"/>
      <c r="O5" s="41"/>
      <c r="P5" s="42"/>
      <c r="Q5" s="43"/>
      <c r="R5" s="41"/>
      <c r="S5" s="41"/>
      <c r="T5" s="41"/>
      <c r="U5" s="496"/>
      <c r="V5" s="41"/>
      <c r="W5" s="41"/>
      <c r="X5" s="42"/>
      <c r="Y5" s="43"/>
      <c r="Z5" s="41"/>
      <c r="AA5" s="41"/>
      <c r="AB5" s="41"/>
      <c r="AC5" s="496"/>
      <c r="AD5" s="41"/>
      <c r="AE5" s="41"/>
      <c r="AF5" s="42"/>
      <c r="AG5" s="43"/>
      <c r="AH5" s="41"/>
      <c r="AI5" s="41"/>
      <c r="AJ5" s="41"/>
      <c r="AK5" s="496"/>
      <c r="AL5" s="41"/>
      <c r="AM5" s="41"/>
      <c r="AN5" s="42"/>
      <c r="AO5" s="43"/>
      <c r="AP5" s="41"/>
      <c r="AQ5" s="41"/>
      <c r="AR5" s="41"/>
      <c r="AS5" s="496"/>
      <c r="AT5" s="41"/>
      <c r="AU5" s="41"/>
      <c r="AV5" s="42"/>
      <c r="AW5" s="126"/>
    </row>
    <row r="6" spans="1:49" s="3" customFormat="1" ht="18" customHeight="1" x14ac:dyDescent="0.15">
      <c r="A6" s="402"/>
      <c r="B6" s="161" t="str">
        <f t="shared" ref="B6:B60" si="0">VLOOKUP(WEEKDAY(C6,2),TAB_SEMAINE,2,FALSE)</f>
        <v>Ve</v>
      </c>
      <c r="C6" s="162">
        <f>DATE(Ref_Annee,Ref_Mois,1)</f>
        <v>44197</v>
      </c>
      <c r="D6" s="47" t="str">
        <f t="shared" ref="D6:D66" si="1">IF(ISNA(VLOOKUP(C6,TAB_FERIES,4,FALSE)),"",VLOOKUP(C6,TAB_FERIES,4,FALSE))</f>
        <v>F</v>
      </c>
      <c r="E6" s="497" t="str">
        <f t="shared" ref="E6:E60" si="2">IF(ISNA(VLOOKUP(C6,TAB_LUNE,2,FALSE)),"",VLOOKUP(C6,TAB_LUNE,2,FALSE))</f>
        <v/>
      </c>
      <c r="F6" s="48" t="str">
        <f t="shared" ref="F6:F60" si="3">IF(ISNA(VLOOKUP(C6,TAB_FERIES,3,FALSE)),"",VLOOKUP(C6,TAB_FERIES,3,FALSE))</f>
        <v>Jour de l’An</v>
      </c>
      <c r="G6" s="48">
        <f>IF(B6="","",C6-DATE(YEAR(C6),1,0))</f>
        <v>1</v>
      </c>
      <c r="H6" s="49">
        <f>INT((9+C6-MOD(C6-2,7)-DATE(YEAR(3+C6-MOD(C6-2,7)),1,))/7)</f>
        <v>53</v>
      </c>
      <c r="I6" s="50"/>
      <c r="J6" s="161" t="str">
        <f t="shared" ref="J6:J60" si="4">VLOOKUP(WEEKDAY(K6,2),TAB_SEMAINE,2,FALSE)</f>
        <v>Lu</v>
      </c>
      <c r="K6" s="162">
        <f>DATE(YEAR(C6),MONTH(C6)+1,1)</f>
        <v>44228</v>
      </c>
      <c r="L6" s="47" t="str">
        <f t="shared" ref="L6:L66" si="5">IF(ISNA(VLOOKUP(K6,TAB_FERIES,4,FALSE)),"",VLOOKUP(K6,TAB_FERIES,4,FALSE))</f>
        <v/>
      </c>
      <c r="M6" s="497" t="str">
        <f t="shared" ref="M6:M60" si="6">IF(ISNA(VLOOKUP(K6,TAB_LUNE,2,FALSE)),"",VLOOKUP(K6,TAB_LUNE,2,FALSE))</f>
        <v/>
      </c>
      <c r="N6" s="48" t="str">
        <f t="shared" ref="N6:N60" si="7">IF(ISNA(VLOOKUP(K6,TAB_FERIES,3,FALSE)),"",VLOOKUP(K6,TAB_FERIES,3,FALSE))</f>
        <v/>
      </c>
      <c r="O6" s="48">
        <f>IF(J6="","",K6-DATE(YEAR(K6),1,0))</f>
        <v>32</v>
      </c>
      <c r="P6" s="49">
        <f>INT((9+K6-MOD(K6-2,7)-DATE(YEAR(3+K6-MOD(K6-2,7)),1,))/7)</f>
        <v>5</v>
      </c>
      <c r="Q6" s="50"/>
      <c r="R6" s="161" t="str">
        <f t="shared" ref="R6:R60" si="8">VLOOKUP(WEEKDAY(S6,2),TAB_SEMAINE,2,FALSE)</f>
        <v>Lu</v>
      </c>
      <c r="S6" s="162">
        <f>DATE(YEAR(K6),MONTH(K6)+1,1)</f>
        <v>44256</v>
      </c>
      <c r="T6" s="47" t="str">
        <f t="shared" ref="T6:T66" si="9">IF(ISNA(VLOOKUP(S6,TAB_FERIES,4,FALSE)),"",VLOOKUP(S6,TAB_FERIES,4,FALSE))</f>
        <v/>
      </c>
      <c r="U6" s="497" t="str">
        <f t="shared" ref="U6:U60" si="10">IF(ISNA(VLOOKUP(S6,TAB_LUNE,2,FALSE)),"",VLOOKUP(S6,TAB_LUNE,2,FALSE))</f>
        <v/>
      </c>
      <c r="V6" s="48" t="str">
        <f t="shared" ref="V6:V60" si="11">IF(ISNA(VLOOKUP(S6,TAB_FERIES,3,FALSE)),"",VLOOKUP(S6,TAB_FERIES,3,FALSE))</f>
        <v/>
      </c>
      <c r="W6" s="48">
        <f>IF(R6="","",S6-DATE(YEAR(S6),1,0))</f>
        <v>60</v>
      </c>
      <c r="X6" s="49">
        <f>INT((9+S6-MOD(S6-2,7)-DATE(YEAR(3+S6-MOD(S6-2,7)),1,))/7)</f>
        <v>9</v>
      </c>
      <c r="Y6" s="50"/>
      <c r="Z6" s="161" t="str">
        <f t="shared" ref="Z6:Z60" si="12">VLOOKUP(WEEKDAY(AA6,2),TAB_SEMAINE,2,FALSE)</f>
        <v>Je</v>
      </c>
      <c r="AA6" s="162">
        <f>DATE(YEAR(S6),MONTH(S6)+1,1)</f>
        <v>44287</v>
      </c>
      <c r="AB6" s="47" t="str">
        <f t="shared" ref="AB6:AB66" si="13">IF(ISNA(VLOOKUP(AA6,TAB_FERIES,4,FALSE)),"",VLOOKUP(AA6,TAB_FERIES,4,FALSE))</f>
        <v/>
      </c>
      <c r="AC6" s="497" t="str">
        <f t="shared" ref="AC6:AC60" si="14">IF(ISNA(VLOOKUP(AA6,TAB_LUNE,2,FALSE)),"",VLOOKUP(AA6,TAB_LUNE,2,FALSE))</f>
        <v/>
      </c>
      <c r="AD6" s="48" t="str">
        <f t="shared" ref="AD6:AD60" si="15">IF(ISNA(VLOOKUP(AA6,TAB_FERIES,3,FALSE)),"",VLOOKUP(AA6,TAB_FERIES,3,FALSE))</f>
        <v/>
      </c>
      <c r="AE6" s="48">
        <f>IF(Z6="","",AA6-DATE(YEAR(AA6),1,0))</f>
        <v>91</v>
      </c>
      <c r="AF6" s="49">
        <f>INT((9+AA6-MOD(AA6-2,7)-DATE(YEAR(3+AA6-MOD(AA6-2,7)),1,))/7)</f>
        <v>13</v>
      </c>
      <c r="AG6" s="50"/>
      <c r="AH6" s="161" t="str">
        <f t="shared" ref="AH6:AH60" si="16">VLOOKUP(WEEKDAY(AI6,2),TAB_SEMAINE,2,FALSE)</f>
        <v>Sa</v>
      </c>
      <c r="AI6" s="162">
        <f>DATE(YEAR(AA6),MONTH(AA6)+1,1)</f>
        <v>44317</v>
      </c>
      <c r="AJ6" s="47" t="str">
        <f t="shared" ref="AJ6:AJ66" si="17">IF(ISNA(VLOOKUP(AI6,TAB_FERIES,4,FALSE)),"",VLOOKUP(AI6,TAB_FERIES,4,FALSE))</f>
        <v>F</v>
      </c>
      <c r="AK6" s="497" t="str">
        <f t="shared" ref="AK6:AK60" si="18">IF(ISNA(VLOOKUP(AI6,TAB_LUNE,2,FALSE)),"",VLOOKUP(AI6,TAB_LUNE,2,FALSE))</f>
        <v/>
      </c>
      <c r="AL6" s="48" t="str">
        <f t="shared" ref="AL6:AL60" si="19">IF(ISNA(VLOOKUP(AI6,TAB_FERIES,3,FALSE)),"",VLOOKUP(AI6,TAB_FERIES,3,FALSE))</f>
        <v>Fête du Travail</v>
      </c>
      <c r="AM6" s="48">
        <f>IF(AH6="","",AI6-DATE(YEAR(AI6),1,0))</f>
        <v>121</v>
      </c>
      <c r="AN6" s="49">
        <f>INT((9+AI6-MOD(AI6-2,7)-DATE(YEAR(3+AI6-MOD(AI6-2,7)),1,))/7)</f>
        <v>17</v>
      </c>
      <c r="AO6" s="50"/>
      <c r="AP6" s="161" t="str">
        <f t="shared" ref="AP6:AP60" si="20">VLOOKUP(WEEKDAY(AQ6,2),TAB_SEMAINE,2,FALSE)</f>
        <v>Ma</v>
      </c>
      <c r="AQ6" s="162">
        <f>DATE(YEAR(AI6),MONTH(AI6)+1,1)</f>
        <v>44348</v>
      </c>
      <c r="AR6" s="47" t="str">
        <f t="shared" ref="AR6:AR66" si="21">IF(ISNA(VLOOKUP(AQ6,TAB_FERIES,4,FALSE)),"",VLOOKUP(AQ6,TAB_FERIES,4,FALSE))</f>
        <v/>
      </c>
      <c r="AS6" s="497" t="str">
        <f t="shared" ref="AS6:AS60" si="22">IF(ISNA(VLOOKUP(AQ6,TAB_LUNE,2,FALSE)),"",VLOOKUP(AQ6,TAB_LUNE,2,FALSE))</f>
        <v/>
      </c>
      <c r="AT6" s="48" t="str">
        <f t="shared" ref="AT6:AT60" si="23">IF(ISNA(VLOOKUP(AQ6,TAB_FERIES,3,FALSE)),"",VLOOKUP(AQ6,TAB_FERIES,3,FALSE))</f>
        <v/>
      </c>
      <c r="AU6" s="48">
        <f>IF(AP6="","",AQ6-DATE(YEAR(AQ6),1,0))</f>
        <v>152</v>
      </c>
      <c r="AV6" s="49">
        <f>INT((9+AQ6-MOD(AQ6-2,7)-DATE(YEAR(3+AQ6-MOD(AQ6-2,7)),1,))/7)</f>
        <v>22</v>
      </c>
      <c r="AW6" s="403"/>
    </row>
    <row r="7" spans="1:49" s="3" customFormat="1" ht="4" customHeight="1" x14ac:dyDescent="0.15">
      <c r="A7" s="402"/>
      <c r="B7" s="161"/>
      <c r="C7" s="162"/>
      <c r="D7" s="47"/>
      <c r="E7" s="497"/>
      <c r="F7" s="48"/>
      <c r="G7" s="48" t="str">
        <f t="shared" ref="G7:G66" si="24">IF(B7="","",C7-DATE(YEAR(C7),1,0))</f>
        <v/>
      </c>
      <c r="H7" s="49"/>
      <c r="I7" s="50"/>
      <c r="J7" s="161"/>
      <c r="K7" s="162"/>
      <c r="L7" s="47"/>
      <c r="M7" s="497"/>
      <c r="N7" s="48"/>
      <c r="O7" s="48" t="str">
        <f t="shared" ref="O7:O66" si="25">IF(J7="","",K7-DATE(YEAR(K7),1,0))</f>
        <v/>
      </c>
      <c r="P7" s="49"/>
      <c r="Q7" s="50"/>
      <c r="R7" s="161"/>
      <c r="S7" s="162"/>
      <c r="T7" s="47"/>
      <c r="U7" s="497"/>
      <c r="V7" s="48"/>
      <c r="W7" s="48" t="str">
        <f t="shared" ref="W7:W66" si="26">IF(R7="","",S7-DATE(YEAR(S7),1,0))</f>
        <v/>
      </c>
      <c r="X7" s="49"/>
      <c r="Y7" s="50"/>
      <c r="Z7" s="161"/>
      <c r="AA7" s="162"/>
      <c r="AB7" s="47"/>
      <c r="AC7" s="497"/>
      <c r="AD7" s="48"/>
      <c r="AE7" s="48" t="str">
        <f t="shared" ref="AE7:AE66" si="27">IF(Z7="","",AA7-DATE(YEAR(AA7),1,0))</f>
        <v/>
      </c>
      <c r="AF7" s="49"/>
      <c r="AG7" s="50"/>
      <c r="AH7" s="161"/>
      <c r="AI7" s="162"/>
      <c r="AJ7" s="47"/>
      <c r="AK7" s="497"/>
      <c r="AL7" s="48"/>
      <c r="AM7" s="48" t="str">
        <f t="shared" ref="AM7:AM66" si="28">IF(AH7="","",AI7-DATE(YEAR(AI7),1,0))</f>
        <v/>
      </c>
      <c r="AN7" s="49"/>
      <c r="AO7" s="50"/>
      <c r="AP7" s="161"/>
      <c r="AQ7" s="162"/>
      <c r="AR7" s="47"/>
      <c r="AS7" s="497"/>
      <c r="AT7" s="48"/>
      <c r="AU7" s="48" t="str">
        <f t="shared" ref="AU7:AU66" si="29">IF(AP7="","",AQ7-DATE(YEAR(AQ7),1,0))</f>
        <v/>
      </c>
      <c r="AV7" s="49"/>
      <c r="AW7" s="403"/>
    </row>
    <row r="8" spans="1:49" s="3" customFormat="1" ht="18" customHeight="1" x14ac:dyDescent="0.15">
      <c r="A8" s="402"/>
      <c r="B8" s="161" t="str">
        <f t="shared" si="0"/>
        <v>Sa</v>
      </c>
      <c r="C8" s="162">
        <f>+C6+1</f>
        <v>44198</v>
      </c>
      <c r="D8" s="47" t="str">
        <f t="shared" si="1"/>
        <v/>
      </c>
      <c r="E8" s="497" t="str">
        <f t="shared" si="2"/>
        <v/>
      </c>
      <c r="F8" s="48" t="str">
        <f t="shared" si="3"/>
        <v/>
      </c>
      <c r="G8" s="48">
        <f t="shared" si="24"/>
        <v>2</v>
      </c>
      <c r="H8" s="49" t="str">
        <f>IF(C8="","",IF(MOD(C8-2,7),"",INT((9+C8-MOD(C8-2,7)-DATE(YEAR(3+C8-MOD(C8-2,7)),1,))/7)))</f>
        <v/>
      </c>
      <c r="I8" s="50"/>
      <c r="J8" s="161" t="str">
        <f t="shared" si="4"/>
        <v>Ma</v>
      </c>
      <c r="K8" s="162">
        <f>+K6+1</f>
        <v>44229</v>
      </c>
      <c r="L8" s="47" t="str">
        <f t="shared" si="5"/>
        <v/>
      </c>
      <c r="M8" s="497" t="str">
        <f t="shared" si="6"/>
        <v/>
      </c>
      <c r="N8" s="48" t="str">
        <f t="shared" si="7"/>
        <v/>
      </c>
      <c r="O8" s="48">
        <f t="shared" si="25"/>
        <v>33</v>
      </c>
      <c r="P8" s="49" t="str">
        <f>IF(K8="","",IF(MOD(K8-2,7),"",INT((9+K8-MOD(K8-2,7)-DATE(YEAR(3+K8-MOD(K8-2,7)),1,))/7)))</f>
        <v/>
      </c>
      <c r="Q8" s="50"/>
      <c r="R8" s="161" t="str">
        <f t="shared" si="8"/>
        <v>Ma</v>
      </c>
      <c r="S8" s="162">
        <f>+S6+1</f>
        <v>44257</v>
      </c>
      <c r="T8" s="47" t="str">
        <f t="shared" si="9"/>
        <v/>
      </c>
      <c r="U8" s="497" t="str">
        <f t="shared" si="10"/>
        <v/>
      </c>
      <c r="V8" s="48" t="str">
        <f t="shared" si="11"/>
        <v/>
      </c>
      <c r="W8" s="48">
        <f t="shared" si="26"/>
        <v>61</v>
      </c>
      <c r="X8" s="49" t="str">
        <f>IF(S8="","",IF(MOD(S8-2,7),"",INT((9+S8-MOD(S8-2,7)-DATE(YEAR(3+S8-MOD(S8-2,7)),1,))/7)))</f>
        <v/>
      </c>
      <c r="Y8" s="50"/>
      <c r="Z8" s="161" t="str">
        <f t="shared" si="12"/>
        <v>Ve</v>
      </c>
      <c r="AA8" s="162">
        <f>+AA6+1</f>
        <v>44288</v>
      </c>
      <c r="AB8" s="47" t="str">
        <f t="shared" si="13"/>
        <v/>
      </c>
      <c r="AC8" s="497" t="str">
        <f t="shared" si="14"/>
        <v/>
      </c>
      <c r="AD8" s="48" t="str">
        <f t="shared" si="15"/>
        <v/>
      </c>
      <c r="AE8" s="48">
        <f t="shared" si="27"/>
        <v>92</v>
      </c>
      <c r="AF8" s="49" t="str">
        <f>IF(AA8="","",IF(MOD(AA8-2,7),"",INT((9+AA8-MOD(AA8-2,7)-DATE(YEAR(3+AA8-MOD(AA8-2,7)),1,))/7)))</f>
        <v/>
      </c>
      <c r="AG8" s="50"/>
      <c r="AH8" s="161" t="str">
        <f t="shared" si="16"/>
        <v>Di</v>
      </c>
      <c r="AI8" s="162">
        <f>+AI6+1</f>
        <v>44318</v>
      </c>
      <c r="AJ8" s="47" t="str">
        <f t="shared" si="17"/>
        <v/>
      </c>
      <c r="AK8" s="497" t="str">
        <f t="shared" si="18"/>
        <v/>
      </c>
      <c r="AL8" s="48" t="str">
        <f t="shared" si="19"/>
        <v/>
      </c>
      <c r="AM8" s="48">
        <f t="shared" si="28"/>
        <v>122</v>
      </c>
      <c r="AN8" s="49" t="str">
        <f>IF(AI8="","",IF(MOD(AI8-2,7),"",INT((9+AI8-MOD(AI8-2,7)-DATE(YEAR(3+AI8-MOD(AI8-2,7)),1,))/7)))</f>
        <v/>
      </c>
      <c r="AO8" s="50"/>
      <c r="AP8" s="161" t="str">
        <f t="shared" si="20"/>
        <v>Me</v>
      </c>
      <c r="AQ8" s="162">
        <f>+AQ6+1</f>
        <v>44349</v>
      </c>
      <c r="AR8" s="47" t="str">
        <f t="shared" si="21"/>
        <v/>
      </c>
      <c r="AS8" s="497" t="str">
        <f t="shared" si="22"/>
        <v>🌗</v>
      </c>
      <c r="AT8" s="48" t="str">
        <f t="shared" si="23"/>
        <v/>
      </c>
      <c r="AU8" s="48">
        <f t="shared" si="29"/>
        <v>153</v>
      </c>
      <c r="AV8" s="49" t="str">
        <f>IF(AQ8="","",IF(MOD(AQ8-2,7),"",INT((9+AQ8-MOD(AQ8-2,7)-DATE(YEAR(3+AQ8-MOD(AQ8-2,7)),1,))/7)))</f>
        <v/>
      </c>
      <c r="AW8" s="403"/>
    </row>
    <row r="9" spans="1:49" s="3" customFormat="1" ht="4" customHeight="1" x14ac:dyDescent="0.15">
      <c r="A9" s="402"/>
      <c r="B9" s="161"/>
      <c r="C9" s="162"/>
      <c r="D9" s="47"/>
      <c r="E9" s="497"/>
      <c r="F9" s="48"/>
      <c r="G9" s="48" t="str">
        <f t="shared" si="24"/>
        <v/>
      </c>
      <c r="H9" s="49"/>
      <c r="I9" s="50"/>
      <c r="J9" s="161"/>
      <c r="K9" s="162"/>
      <c r="L9" s="47"/>
      <c r="M9" s="497"/>
      <c r="N9" s="48"/>
      <c r="O9" s="48" t="str">
        <f t="shared" si="25"/>
        <v/>
      </c>
      <c r="P9" s="49"/>
      <c r="Q9" s="50"/>
      <c r="R9" s="161"/>
      <c r="S9" s="162"/>
      <c r="T9" s="47"/>
      <c r="U9" s="497"/>
      <c r="V9" s="48"/>
      <c r="W9" s="48" t="str">
        <f t="shared" si="26"/>
        <v/>
      </c>
      <c r="X9" s="49"/>
      <c r="Y9" s="50"/>
      <c r="Z9" s="161"/>
      <c r="AA9" s="162"/>
      <c r="AB9" s="47"/>
      <c r="AC9" s="497"/>
      <c r="AD9" s="48"/>
      <c r="AE9" s="48" t="str">
        <f t="shared" si="27"/>
        <v/>
      </c>
      <c r="AF9" s="49"/>
      <c r="AG9" s="50"/>
      <c r="AH9" s="161"/>
      <c r="AI9" s="162"/>
      <c r="AJ9" s="47"/>
      <c r="AK9" s="497"/>
      <c r="AL9" s="48"/>
      <c r="AM9" s="48" t="str">
        <f t="shared" si="28"/>
        <v/>
      </c>
      <c r="AN9" s="49"/>
      <c r="AO9" s="50"/>
      <c r="AP9" s="161"/>
      <c r="AQ9" s="162"/>
      <c r="AR9" s="47"/>
      <c r="AS9" s="497"/>
      <c r="AT9" s="48"/>
      <c r="AU9" s="48" t="str">
        <f t="shared" si="29"/>
        <v/>
      </c>
      <c r="AV9" s="49"/>
      <c r="AW9" s="403"/>
    </row>
    <row r="10" spans="1:49" s="3" customFormat="1" ht="18" customHeight="1" x14ac:dyDescent="0.15">
      <c r="A10" s="402"/>
      <c r="B10" s="161" t="str">
        <f t="shared" si="0"/>
        <v>Di</v>
      </c>
      <c r="C10" s="162">
        <f>+C8+1</f>
        <v>44199</v>
      </c>
      <c r="D10" s="47" t="str">
        <f t="shared" si="1"/>
        <v/>
      </c>
      <c r="E10" s="497" t="str">
        <f t="shared" si="2"/>
        <v/>
      </c>
      <c r="F10" s="48" t="str">
        <f t="shared" si="3"/>
        <v/>
      </c>
      <c r="G10" s="48">
        <f t="shared" si="24"/>
        <v>3</v>
      </c>
      <c r="H10" s="49" t="str">
        <f>IF(C10="","",IF(MOD(C10-2,7),"",INT((9+C10-MOD(C10-2,7)-DATE(YEAR(3+C10-MOD(C10-2,7)),1,))/7)))</f>
        <v/>
      </c>
      <c r="I10" s="50"/>
      <c r="J10" s="161" t="str">
        <f t="shared" si="4"/>
        <v>Me</v>
      </c>
      <c r="K10" s="162">
        <f>+K8+1</f>
        <v>44230</v>
      </c>
      <c r="L10" s="47" t="str">
        <f t="shared" si="5"/>
        <v/>
      </c>
      <c r="M10" s="497" t="str">
        <f t="shared" si="6"/>
        <v/>
      </c>
      <c r="N10" s="48" t="str">
        <f t="shared" si="7"/>
        <v/>
      </c>
      <c r="O10" s="48">
        <f t="shared" si="25"/>
        <v>34</v>
      </c>
      <c r="P10" s="49" t="str">
        <f>IF(K10="","",IF(MOD(K10-2,7),"",INT((9+K10-MOD(K10-2,7)-DATE(YEAR(3+K10-MOD(K10-2,7)),1,))/7)))</f>
        <v/>
      </c>
      <c r="Q10" s="50"/>
      <c r="R10" s="161" t="str">
        <f t="shared" si="8"/>
        <v>Me</v>
      </c>
      <c r="S10" s="162">
        <f>+S8+1</f>
        <v>44258</v>
      </c>
      <c r="T10" s="47" t="str">
        <f t="shared" si="9"/>
        <v/>
      </c>
      <c r="U10" s="497" t="str">
        <f t="shared" si="10"/>
        <v/>
      </c>
      <c r="V10" s="48" t="str">
        <f t="shared" si="11"/>
        <v/>
      </c>
      <c r="W10" s="48">
        <f t="shared" si="26"/>
        <v>62</v>
      </c>
      <c r="X10" s="49" t="str">
        <f>IF(S10="","",IF(MOD(S10-2,7),"",INT((9+S10-MOD(S10-2,7)-DATE(YEAR(3+S10-MOD(S10-2,7)),1,))/7)))</f>
        <v/>
      </c>
      <c r="Y10" s="50"/>
      <c r="Z10" s="161" t="str">
        <f t="shared" si="12"/>
        <v>Sa</v>
      </c>
      <c r="AA10" s="162">
        <f>+AA8+1</f>
        <v>44289</v>
      </c>
      <c r="AB10" s="47" t="str">
        <f t="shared" si="13"/>
        <v/>
      </c>
      <c r="AC10" s="497" t="str">
        <f t="shared" si="14"/>
        <v/>
      </c>
      <c r="AD10" s="48" t="str">
        <f t="shared" si="15"/>
        <v/>
      </c>
      <c r="AE10" s="48">
        <f t="shared" si="27"/>
        <v>93</v>
      </c>
      <c r="AF10" s="49" t="str">
        <f>IF(AA10="","",IF(MOD(AA10-2,7),"",INT((9+AA10-MOD(AA10-2,7)-DATE(YEAR(3+AA10-MOD(AA10-2,7)),1,))/7)))</f>
        <v/>
      </c>
      <c r="AG10" s="50"/>
      <c r="AH10" s="161" t="str">
        <f t="shared" si="16"/>
        <v>Lu</v>
      </c>
      <c r="AI10" s="162">
        <f>+AI8+1</f>
        <v>44319</v>
      </c>
      <c r="AJ10" s="47" t="str">
        <f t="shared" si="17"/>
        <v/>
      </c>
      <c r="AK10" s="497" t="str">
        <f t="shared" si="18"/>
        <v>🌗</v>
      </c>
      <c r="AL10" s="48" t="str">
        <f t="shared" si="19"/>
        <v/>
      </c>
      <c r="AM10" s="48">
        <f t="shared" si="28"/>
        <v>123</v>
      </c>
      <c r="AN10" s="49">
        <f>IF(AI10="","",IF(MOD(AI10-2,7),"",INT((9+AI10-MOD(AI10-2,7)-DATE(YEAR(3+AI10-MOD(AI10-2,7)),1,))/7)))</f>
        <v>18</v>
      </c>
      <c r="AO10" s="50"/>
      <c r="AP10" s="161" t="str">
        <f t="shared" si="20"/>
        <v>Je</v>
      </c>
      <c r="AQ10" s="162">
        <f>+AQ8+1</f>
        <v>44350</v>
      </c>
      <c r="AR10" s="47" t="str">
        <f t="shared" si="21"/>
        <v/>
      </c>
      <c r="AS10" s="497" t="str">
        <f t="shared" si="22"/>
        <v/>
      </c>
      <c r="AT10" s="48" t="str">
        <f t="shared" si="23"/>
        <v/>
      </c>
      <c r="AU10" s="48">
        <f t="shared" si="29"/>
        <v>154</v>
      </c>
      <c r="AV10" s="49" t="str">
        <f t="shared" ref="AV10:AV66" si="30">IF(AQ10="","",IF(MOD(AQ10-2,7),"",INT((9+AQ10-MOD(AQ10-2,7)-DATE(YEAR(3+AQ10-MOD(AQ10-2,7)),1,))/7)))</f>
        <v/>
      </c>
      <c r="AW10" s="403"/>
    </row>
    <row r="11" spans="1:49" s="3" customFormat="1" ht="4" customHeight="1" x14ac:dyDescent="0.15">
      <c r="A11" s="402"/>
      <c r="B11" s="161"/>
      <c r="C11" s="162"/>
      <c r="D11" s="47"/>
      <c r="E11" s="497"/>
      <c r="F11" s="48"/>
      <c r="G11" s="48" t="str">
        <f t="shared" si="24"/>
        <v/>
      </c>
      <c r="H11" s="49"/>
      <c r="I11" s="50"/>
      <c r="J11" s="161"/>
      <c r="K11" s="162"/>
      <c r="L11" s="47"/>
      <c r="M11" s="497"/>
      <c r="N11" s="48"/>
      <c r="O11" s="48" t="str">
        <f t="shared" si="25"/>
        <v/>
      </c>
      <c r="P11" s="49"/>
      <c r="Q11" s="50"/>
      <c r="R11" s="161"/>
      <c r="S11" s="162"/>
      <c r="T11" s="47"/>
      <c r="U11" s="497"/>
      <c r="V11" s="48"/>
      <c r="W11" s="48" t="str">
        <f t="shared" si="26"/>
        <v/>
      </c>
      <c r="X11" s="49"/>
      <c r="Y11" s="50"/>
      <c r="Z11" s="161"/>
      <c r="AA11" s="162"/>
      <c r="AB11" s="47"/>
      <c r="AC11" s="497"/>
      <c r="AD11" s="48"/>
      <c r="AE11" s="48" t="str">
        <f t="shared" si="27"/>
        <v/>
      </c>
      <c r="AF11" s="49"/>
      <c r="AG11" s="50"/>
      <c r="AH11" s="161"/>
      <c r="AI11" s="162"/>
      <c r="AJ11" s="47"/>
      <c r="AK11" s="497"/>
      <c r="AL11" s="48"/>
      <c r="AM11" s="48" t="str">
        <f t="shared" si="28"/>
        <v/>
      </c>
      <c r="AN11" s="49"/>
      <c r="AO11" s="50"/>
      <c r="AP11" s="161"/>
      <c r="AQ11" s="162"/>
      <c r="AR11" s="47"/>
      <c r="AS11" s="497"/>
      <c r="AT11" s="48"/>
      <c r="AU11" s="48" t="str">
        <f t="shared" si="29"/>
        <v/>
      </c>
      <c r="AV11" s="49"/>
      <c r="AW11" s="403"/>
    </row>
    <row r="12" spans="1:49" s="3" customFormat="1" ht="18" customHeight="1" x14ac:dyDescent="0.15">
      <c r="A12" s="402"/>
      <c r="B12" s="161" t="str">
        <f t="shared" si="0"/>
        <v>Lu</v>
      </c>
      <c r="C12" s="162">
        <f>+C10+1</f>
        <v>44200</v>
      </c>
      <c r="D12" s="47" t="str">
        <f t="shared" si="1"/>
        <v/>
      </c>
      <c r="E12" s="497" t="str">
        <f t="shared" si="2"/>
        <v/>
      </c>
      <c r="F12" s="48" t="str">
        <f t="shared" si="3"/>
        <v/>
      </c>
      <c r="G12" s="48">
        <f t="shared" si="24"/>
        <v>4</v>
      </c>
      <c r="H12" s="49">
        <f>IF(C12="","",IF(MOD(C12-2,7),"",INT((9+C12-MOD(C12-2,7)-DATE(YEAR(3+C12-MOD(C12-2,7)),1,))/7)))</f>
        <v>1</v>
      </c>
      <c r="I12" s="50"/>
      <c r="J12" s="161" t="str">
        <f t="shared" si="4"/>
        <v>Je</v>
      </c>
      <c r="K12" s="162">
        <f>+K10+1</f>
        <v>44231</v>
      </c>
      <c r="L12" s="47" t="str">
        <f t="shared" si="5"/>
        <v/>
      </c>
      <c r="M12" s="497" t="str">
        <f t="shared" si="6"/>
        <v>🌗</v>
      </c>
      <c r="N12" s="48" t="str">
        <f t="shared" si="7"/>
        <v/>
      </c>
      <c r="O12" s="48">
        <f t="shared" si="25"/>
        <v>35</v>
      </c>
      <c r="P12" s="49" t="str">
        <f>IF(K12="","",IF(MOD(K12-2,7),"",INT((9+K12-MOD(K12-2,7)-DATE(YEAR(3+K12-MOD(K12-2,7)),1,))/7)))</f>
        <v/>
      </c>
      <c r="Q12" s="50"/>
      <c r="R12" s="161" t="str">
        <f t="shared" si="8"/>
        <v>Je</v>
      </c>
      <c r="S12" s="162">
        <f>+S10+1</f>
        <v>44259</v>
      </c>
      <c r="T12" s="47" t="str">
        <f t="shared" si="9"/>
        <v/>
      </c>
      <c r="U12" s="497" t="str">
        <f t="shared" si="10"/>
        <v/>
      </c>
      <c r="V12" s="48" t="str">
        <f t="shared" si="11"/>
        <v/>
      </c>
      <c r="W12" s="48">
        <f t="shared" si="26"/>
        <v>63</v>
      </c>
      <c r="X12" s="49" t="str">
        <f>IF(S12="","",IF(MOD(S12-2,7),"",INT((9+S12-MOD(S12-2,7)-DATE(YEAR(3+S12-MOD(S12-2,7)),1,))/7)))</f>
        <v/>
      </c>
      <c r="Y12" s="50"/>
      <c r="Z12" s="161" t="str">
        <f t="shared" si="12"/>
        <v>Di</v>
      </c>
      <c r="AA12" s="162">
        <f>+AA10+1</f>
        <v>44290</v>
      </c>
      <c r="AB12" s="47" t="str">
        <f t="shared" si="13"/>
        <v>F</v>
      </c>
      <c r="AC12" s="497" t="str">
        <f t="shared" si="14"/>
        <v>🌗</v>
      </c>
      <c r="AD12" s="48" t="str">
        <f t="shared" si="15"/>
        <v>Pâques</v>
      </c>
      <c r="AE12" s="48">
        <f t="shared" si="27"/>
        <v>94</v>
      </c>
      <c r="AF12" s="49" t="str">
        <f>IF(AA12="","",IF(MOD(AA12-2,7),"",INT((9+AA12-MOD(AA12-2,7)-DATE(YEAR(3+AA12-MOD(AA12-2,7)),1,))/7)))</f>
        <v/>
      </c>
      <c r="AG12" s="50"/>
      <c r="AH12" s="161" t="str">
        <f t="shared" si="16"/>
        <v>Ma</v>
      </c>
      <c r="AI12" s="162">
        <f>+AI10+1</f>
        <v>44320</v>
      </c>
      <c r="AJ12" s="47" t="str">
        <f t="shared" si="17"/>
        <v/>
      </c>
      <c r="AK12" s="497" t="str">
        <f t="shared" si="18"/>
        <v/>
      </c>
      <c r="AL12" s="48" t="str">
        <f t="shared" si="19"/>
        <v/>
      </c>
      <c r="AM12" s="48">
        <f t="shared" si="28"/>
        <v>124</v>
      </c>
      <c r="AN12" s="49" t="str">
        <f>IF(AI12="","",IF(MOD(AI12-2,7),"",INT((9+AI12-MOD(AI12-2,7)-DATE(YEAR(3+AI12-MOD(AI12-2,7)),1,))/7)))</f>
        <v/>
      </c>
      <c r="AO12" s="50"/>
      <c r="AP12" s="161" t="str">
        <f t="shared" si="20"/>
        <v>Ve</v>
      </c>
      <c r="AQ12" s="162">
        <f>+AQ10+1</f>
        <v>44351</v>
      </c>
      <c r="AR12" s="47" t="str">
        <f t="shared" si="21"/>
        <v/>
      </c>
      <c r="AS12" s="497" t="str">
        <f t="shared" si="22"/>
        <v/>
      </c>
      <c r="AT12" s="48" t="str">
        <f t="shared" si="23"/>
        <v/>
      </c>
      <c r="AU12" s="48">
        <f t="shared" si="29"/>
        <v>155</v>
      </c>
      <c r="AV12" s="49" t="str">
        <f t="shared" si="30"/>
        <v/>
      </c>
      <c r="AW12" s="403"/>
    </row>
    <row r="13" spans="1:49" s="3" customFormat="1" ht="4" customHeight="1" x14ac:dyDescent="0.15">
      <c r="A13" s="402"/>
      <c r="B13" s="161"/>
      <c r="C13" s="162"/>
      <c r="D13" s="47"/>
      <c r="E13" s="497"/>
      <c r="F13" s="48"/>
      <c r="G13" s="48" t="str">
        <f t="shared" si="24"/>
        <v/>
      </c>
      <c r="H13" s="49"/>
      <c r="I13" s="50"/>
      <c r="J13" s="161"/>
      <c r="K13" s="162"/>
      <c r="L13" s="47"/>
      <c r="M13" s="497"/>
      <c r="N13" s="48"/>
      <c r="O13" s="48" t="str">
        <f t="shared" si="25"/>
        <v/>
      </c>
      <c r="P13" s="49"/>
      <c r="Q13" s="50"/>
      <c r="R13" s="161"/>
      <c r="S13" s="162"/>
      <c r="T13" s="47"/>
      <c r="U13" s="497"/>
      <c r="V13" s="48"/>
      <c r="W13" s="48" t="str">
        <f t="shared" si="26"/>
        <v/>
      </c>
      <c r="X13" s="49"/>
      <c r="Y13" s="50"/>
      <c r="Z13" s="161"/>
      <c r="AA13" s="162"/>
      <c r="AB13" s="47"/>
      <c r="AC13" s="497"/>
      <c r="AD13" s="48"/>
      <c r="AE13" s="48" t="str">
        <f t="shared" si="27"/>
        <v/>
      </c>
      <c r="AF13" s="49"/>
      <c r="AG13" s="50"/>
      <c r="AH13" s="161"/>
      <c r="AI13" s="162"/>
      <c r="AJ13" s="47"/>
      <c r="AK13" s="497"/>
      <c r="AL13" s="48"/>
      <c r="AM13" s="48" t="str">
        <f t="shared" si="28"/>
        <v/>
      </c>
      <c r="AN13" s="49"/>
      <c r="AO13" s="50"/>
      <c r="AP13" s="161"/>
      <c r="AQ13" s="162"/>
      <c r="AR13" s="47"/>
      <c r="AS13" s="497"/>
      <c r="AT13" s="48"/>
      <c r="AU13" s="48" t="str">
        <f t="shared" si="29"/>
        <v/>
      </c>
      <c r="AV13" s="49"/>
      <c r="AW13" s="403"/>
    </row>
    <row r="14" spans="1:49" s="3" customFormat="1" ht="18" customHeight="1" x14ac:dyDescent="0.15">
      <c r="A14" s="402"/>
      <c r="B14" s="161" t="str">
        <f t="shared" si="0"/>
        <v>Ma</v>
      </c>
      <c r="C14" s="162">
        <f>+C12+1</f>
        <v>44201</v>
      </c>
      <c r="D14" s="47" t="str">
        <f t="shared" si="1"/>
        <v/>
      </c>
      <c r="E14" s="497" t="str">
        <f t="shared" si="2"/>
        <v/>
      </c>
      <c r="F14" s="48" t="str">
        <f t="shared" si="3"/>
        <v/>
      </c>
      <c r="G14" s="48">
        <f t="shared" si="24"/>
        <v>5</v>
      </c>
      <c r="H14" s="49" t="str">
        <f>IF(C14="","",IF(MOD(C14-2,7),"",INT((9+C14-MOD(C14-2,7)-DATE(YEAR(3+C14-MOD(C14-2,7)),1,))/7)))</f>
        <v/>
      </c>
      <c r="I14" s="50"/>
      <c r="J14" s="161" t="str">
        <f t="shared" si="4"/>
        <v>Ve</v>
      </c>
      <c r="K14" s="162">
        <f>+K12+1</f>
        <v>44232</v>
      </c>
      <c r="L14" s="47" t="str">
        <f t="shared" si="5"/>
        <v/>
      </c>
      <c r="M14" s="497" t="str">
        <f t="shared" si="6"/>
        <v/>
      </c>
      <c r="N14" s="48" t="str">
        <f t="shared" si="7"/>
        <v/>
      </c>
      <c r="O14" s="48">
        <f t="shared" si="25"/>
        <v>36</v>
      </c>
      <c r="P14" s="49" t="str">
        <f>IF(K14="","",IF(MOD(K14-2,7),"",INT((9+K14-MOD(K14-2,7)-DATE(YEAR(3+K14-MOD(K14-2,7)),1,))/7)))</f>
        <v/>
      </c>
      <c r="Q14" s="50"/>
      <c r="R14" s="161" t="str">
        <f t="shared" si="8"/>
        <v>Ve</v>
      </c>
      <c r="S14" s="162">
        <f>+S12+1</f>
        <v>44260</v>
      </c>
      <c r="T14" s="47" t="str">
        <f t="shared" si="9"/>
        <v/>
      </c>
      <c r="U14" s="497" t="str">
        <f t="shared" si="10"/>
        <v/>
      </c>
      <c r="V14" s="48" t="str">
        <f t="shared" si="11"/>
        <v/>
      </c>
      <c r="W14" s="48">
        <f t="shared" si="26"/>
        <v>64</v>
      </c>
      <c r="X14" s="49" t="str">
        <f>IF(S14="","",IF(MOD(S14-2,7),"",INT((9+S14-MOD(S14-2,7)-DATE(YEAR(3+S14-MOD(S14-2,7)),1,))/7)))</f>
        <v/>
      </c>
      <c r="Y14" s="50"/>
      <c r="Z14" s="161" t="str">
        <f t="shared" si="12"/>
        <v>Lu</v>
      </c>
      <c r="AA14" s="162">
        <f>+AA12+1</f>
        <v>44291</v>
      </c>
      <c r="AB14" s="47" t="str">
        <f t="shared" si="13"/>
        <v>F</v>
      </c>
      <c r="AC14" s="497" t="str">
        <f t="shared" si="14"/>
        <v/>
      </c>
      <c r="AD14" s="48" t="str">
        <f t="shared" si="15"/>
        <v>Lun. Pâques</v>
      </c>
      <c r="AE14" s="48">
        <f t="shared" si="27"/>
        <v>95</v>
      </c>
      <c r="AF14" s="49">
        <f>IF(AA14="","",IF(MOD(AA14-2,7),"",INT((9+AA14-MOD(AA14-2,7)-DATE(YEAR(3+AA14-MOD(AA14-2,7)),1,))/7)))</f>
        <v>14</v>
      </c>
      <c r="AG14" s="50"/>
      <c r="AH14" s="161" t="str">
        <f t="shared" si="16"/>
        <v>Me</v>
      </c>
      <c r="AI14" s="162">
        <f>+AI12+1</f>
        <v>44321</v>
      </c>
      <c r="AJ14" s="47" t="str">
        <f t="shared" si="17"/>
        <v/>
      </c>
      <c r="AK14" s="497" t="str">
        <f t="shared" si="18"/>
        <v/>
      </c>
      <c r="AL14" s="48" t="str">
        <f t="shared" si="19"/>
        <v/>
      </c>
      <c r="AM14" s="48">
        <f t="shared" si="28"/>
        <v>125</v>
      </c>
      <c r="AN14" s="49" t="str">
        <f>IF(AI14="","",IF(MOD(AI14-2,7),"",INT((9+AI14-MOD(AI14-2,7)-DATE(YEAR(3+AI14-MOD(AI14-2,7)),1,))/7)))</f>
        <v/>
      </c>
      <c r="AO14" s="50"/>
      <c r="AP14" s="161" t="str">
        <f t="shared" si="20"/>
        <v>Sa</v>
      </c>
      <c r="AQ14" s="162">
        <f>+AQ12+1</f>
        <v>44352</v>
      </c>
      <c r="AR14" s="47" t="str">
        <f t="shared" si="21"/>
        <v/>
      </c>
      <c r="AS14" s="497" t="str">
        <f t="shared" si="22"/>
        <v/>
      </c>
      <c r="AT14" s="48" t="str">
        <f t="shared" si="23"/>
        <v/>
      </c>
      <c r="AU14" s="48">
        <f t="shared" si="29"/>
        <v>156</v>
      </c>
      <c r="AV14" s="49" t="str">
        <f t="shared" si="30"/>
        <v/>
      </c>
      <c r="AW14" s="403"/>
    </row>
    <row r="15" spans="1:49" s="3" customFormat="1" ht="4" customHeight="1" x14ac:dyDescent="0.15">
      <c r="A15" s="402"/>
      <c r="B15" s="161"/>
      <c r="C15" s="162"/>
      <c r="D15" s="47"/>
      <c r="E15" s="497"/>
      <c r="F15" s="48"/>
      <c r="G15" s="48" t="str">
        <f t="shared" si="24"/>
        <v/>
      </c>
      <c r="H15" s="49"/>
      <c r="I15" s="50"/>
      <c r="J15" s="161"/>
      <c r="K15" s="162"/>
      <c r="L15" s="47"/>
      <c r="M15" s="497"/>
      <c r="N15" s="48"/>
      <c r="O15" s="48" t="str">
        <f t="shared" si="25"/>
        <v/>
      </c>
      <c r="P15" s="49"/>
      <c r="Q15" s="50"/>
      <c r="R15" s="161"/>
      <c r="S15" s="162"/>
      <c r="T15" s="47"/>
      <c r="U15" s="497"/>
      <c r="V15" s="48"/>
      <c r="W15" s="48" t="str">
        <f t="shared" si="26"/>
        <v/>
      </c>
      <c r="X15" s="49"/>
      <c r="Y15" s="50"/>
      <c r="Z15" s="161"/>
      <c r="AA15" s="162"/>
      <c r="AB15" s="47"/>
      <c r="AC15" s="497"/>
      <c r="AD15" s="48"/>
      <c r="AE15" s="48" t="str">
        <f t="shared" si="27"/>
        <v/>
      </c>
      <c r="AF15" s="49"/>
      <c r="AG15" s="50"/>
      <c r="AH15" s="161"/>
      <c r="AI15" s="162"/>
      <c r="AJ15" s="47"/>
      <c r="AK15" s="497"/>
      <c r="AL15" s="48"/>
      <c r="AM15" s="48" t="str">
        <f t="shared" si="28"/>
        <v/>
      </c>
      <c r="AN15" s="49"/>
      <c r="AO15" s="50"/>
      <c r="AP15" s="161"/>
      <c r="AQ15" s="162"/>
      <c r="AR15" s="47"/>
      <c r="AS15" s="497"/>
      <c r="AT15" s="48"/>
      <c r="AU15" s="48" t="str">
        <f t="shared" si="29"/>
        <v/>
      </c>
      <c r="AV15" s="49"/>
      <c r="AW15" s="403"/>
    </row>
    <row r="16" spans="1:49" s="3" customFormat="1" ht="18" customHeight="1" x14ac:dyDescent="0.15">
      <c r="A16" s="402"/>
      <c r="B16" s="161" t="str">
        <f t="shared" si="0"/>
        <v>Me</v>
      </c>
      <c r="C16" s="162">
        <f>+C14+1</f>
        <v>44202</v>
      </c>
      <c r="D16" s="47" t="str">
        <f t="shared" si="1"/>
        <v/>
      </c>
      <c r="E16" s="497" t="str">
        <f t="shared" si="2"/>
        <v>🌗</v>
      </c>
      <c r="F16" s="48" t="str">
        <f t="shared" si="3"/>
        <v/>
      </c>
      <c r="G16" s="48">
        <f t="shared" si="24"/>
        <v>6</v>
      </c>
      <c r="H16" s="49" t="str">
        <f>IF(C16="","",IF(MOD(C16-2,7),"",INT((9+C16-MOD(C16-2,7)-DATE(YEAR(3+C16-MOD(C16-2,7)),1,))/7)))</f>
        <v/>
      </c>
      <c r="I16" s="50"/>
      <c r="J16" s="161" t="str">
        <f t="shared" si="4"/>
        <v>Sa</v>
      </c>
      <c r="K16" s="162">
        <f>+K14+1</f>
        <v>44233</v>
      </c>
      <c r="L16" s="47" t="str">
        <f t="shared" si="5"/>
        <v/>
      </c>
      <c r="M16" s="497" t="str">
        <f t="shared" si="6"/>
        <v/>
      </c>
      <c r="N16" s="48" t="str">
        <f t="shared" si="7"/>
        <v/>
      </c>
      <c r="O16" s="48">
        <f t="shared" si="25"/>
        <v>37</v>
      </c>
      <c r="P16" s="49" t="str">
        <f>IF(K16="","",IF(MOD(K16-2,7),"",INT((9+K16-MOD(K16-2,7)-DATE(YEAR(3+K16-MOD(K16-2,7)),1,))/7)))</f>
        <v/>
      </c>
      <c r="Q16" s="50"/>
      <c r="R16" s="161" t="str">
        <f t="shared" si="8"/>
        <v>Sa</v>
      </c>
      <c r="S16" s="162">
        <f>+S14+1</f>
        <v>44261</v>
      </c>
      <c r="T16" s="47" t="str">
        <f t="shared" si="9"/>
        <v/>
      </c>
      <c r="U16" s="497" t="str">
        <f t="shared" si="10"/>
        <v>🌗</v>
      </c>
      <c r="V16" s="48" t="str">
        <f t="shared" si="11"/>
        <v/>
      </c>
      <c r="W16" s="48">
        <f t="shared" si="26"/>
        <v>65</v>
      </c>
      <c r="X16" s="49" t="str">
        <f>IF(S16="","",IF(MOD(S16-2,7),"",INT((9+S16-MOD(S16-2,7)-DATE(YEAR(3+S16-MOD(S16-2,7)),1,))/7)))</f>
        <v/>
      </c>
      <c r="Y16" s="50"/>
      <c r="Z16" s="161" t="str">
        <f t="shared" si="12"/>
        <v>Ma</v>
      </c>
      <c r="AA16" s="162">
        <f>+AA14+1</f>
        <v>44292</v>
      </c>
      <c r="AB16" s="47" t="str">
        <f t="shared" si="13"/>
        <v/>
      </c>
      <c r="AC16" s="497" t="str">
        <f t="shared" si="14"/>
        <v/>
      </c>
      <c r="AD16" s="48" t="str">
        <f t="shared" si="15"/>
        <v/>
      </c>
      <c r="AE16" s="48">
        <f t="shared" si="27"/>
        <v>96</v>
      </c>
      <c r="AF16" s="49" t="str">
        <f>IF(AA16="","",IF(MOD(AA16-2,7),"",INT((9+AA16-MOD(AA16-2,7)-DATE(YEAR(3+AA16-MOD(AA16-2,7)),1,))/7)))</f>
        <v/>
      </c>
      <c r="AG16" s="50"/>
      <c r="AH16" s="161" t="str">
        <f t="shared" si="16"/>
        <v>Je</v>
      </c>
      <c r="AI16" s="162">
        <f>+AI14+1</f>
        <v>44322</v>
      </c>
      <c r="AJ16" s="47" t="str">
        <f t="shared" si="17"/>
        <v/>
      </c>
      <c r="AK16" s="497" t="str">
        <f t="shared" si="18"/>
        <v/>
      </c>
      <c r="AL16" s="48" t="str">
        <f t="shared" si="19"/>
        <v/>
      </c>
      <c r="AM16" s="48">
        <f t="shared" si="28"/>
        <v>126</v>
      </c>
      <c r="AN16" s="49" t="str">
        <f>IF(AI16="","",IF(MOD(AI16-2,7),"",INT((9+AI16-MOD(AI16-2,7)-DATE(YEAR(3+AI16-MOD(AI16-2,7)),1,))/7)))</f>
        <v/>
      </c>
      <c r="AO16" s="50"/>
      <c r="AP16" s="161" t="str">
        <f t="shared" si="20"/>
        <v>Di</v>
      </c>
      <c r="AQ16" s="162">
        <f>+AQ14+1</f>
        <v>44353</v>
      </c>
      <c r="AR16" s="47" t="str">
        <f t="shared" si="21"/>
        <v/>
      </c>
      <c r="AS16" s="497" t="str">
        <f t="shared" si="22"/>
        <v/>
      </c>
      <c r="AT16" s="48" t="str">
        <f t="shared" si="23"/>
        <v/>
      </c>
      <c r="AU16" s="48">
        <f t="shared" si="29"/>
        <v>157</v>
      </c>
      <c r="AV16" s="49" t="str">
        <f t="shared" si="30"/>
        <v/>
      </c>
      <c r="AW16" s="403"/>
    </row>
    <row r="17" spans="1:49" s="3" customFormat="1" ht="4" customHeight="1" x14ac:dyDescent="0.15">
      <c r="A17" s="402"/>
      <c r="B17" s="161"/>
      <c r="C17" s="162"/>
      <c r="D17" s="47"/>
      <c r="E17" s="497"/>
      <c r="F17" s="48"/>
      <c r="G17" s="48" t="str">
        <f t="shared" si="24"/>
        <v/>
      </c>
      <c r="H17" s="49"/>
      <c r="I17" s="50"/>
      <c r="J17" s="161"/>
      <c r="K17" s="162"/>
      <c r="L17" s="47"/>
      <c r="M17" s="497"/>
      <c r="N17" s="48"/>
      <c r="O17" s="48" t="str">
        <f t="shared" si="25"/>
        <v/>
      </c>
      <c r="P17" s="49"/>
      <c r="Q17" s="50"/>
      <c r="R17" s="161"/>
      <c r="S17" s="162"/>
      <c r="T17" s="47"/>
      <c r="U17" s="497"/>
      <c r="V17" s="48"/>
      <c r="W17" s="48" t="str">
        <f t="shared" si="26"/>
        <v/>
      </c>
      <c r="X17" s="49"/>
      <c r="Y17" s="50"/>
      <c r="Z17" s="161"/>
      <c r="AA17" s="162"/>
      <c r="AB17" s="47"/>
      <c r="AC17" s="497"/>
      <c r="AD17" s="48"/>
      <c r="AE17" s="48" t="str">
        <f t="shared" si="27"/>
        <v/>
      </c>
      <c r="AF17" s="49"/>
      <c r="AG17" s="50"/>
      <c r="AH17" s="161"/>
      <c r="AI17" s="162"/>
      <c r="AJ17" s="47"/>
      <c r="AK17" s="497"/>
      <c r="AL17" s="48"/>
      <c r="AM17" s="48" t="str">
        <f t="shared" si="28"/>
        <v/>
      </c>
      <c r="AN17" s="49"/>
      <c r="AO17" s="50"/>
      <c r="AP17" s="161"/>
      <c r="AQ17" s="162"/>
      <c r="AR17" s="47"/>
      <c r="AS17" s="497"/>
      <c r="AT17" s="48"/>
      <c r="AU17" s="48" t="str">
        <f t="shared" si="29"/>
        <v/>
      </c>
      <c r="AV17" s="49"/>
      <c r="AW17" s="403"/>
    </row>
    <row r="18" spans="1:49" s="3" customFormat="1" ht="18" customHeight="1" x14ac:dyDescent="0.15">
      <c r="A18" s="402"/>
      <c r="B18" s="161" t="str">
        <f t="shared" si="0"/>
        <v>Je</v>
      </c>
      <c r="C18" s="162">
        <f>+C16+1</f>
        <v>44203</v>
      </c>
      <c r="D18" s="47" t="str">
        <f t="shared" si="1"/>
        <v/>
      </c>
      <c r="E18" s="497" t="str">
        <f t="shared" si="2"/>
        <v/>
      </c>
      <c r="F18" s="48" t="str">
        <f t="shared" si="3"/>
        <v/>
      </c>
      <c r="G18" s="48">
        <f t="shared" si="24"/>
        <v>7</v>
      </c>
      <c r="H18" s="49" t="str">
        <f>IF(C18="","",IF(MOD(C18-2,7),"",INT((9+C18-MOD(C18-2,7)-DATE(YEAR(3+C18-MOD(C18-2,7)),1,))/7)))</f>
        <v/>
      </c>
      <c r="I18" s="50"/>
      <c r="J18" s="161" t="str">
        <f t="shared" si="4"/>
        <v>Di</v>
      </c>
      <c r="K18" s="162">
        <f>+K16+1</f>
        <v>44234</v>
      </c>
      <c r="L18" s="47" t="str">
        <f t="shared" si="5"/>
        <v/>
      </c>
      <c r="M18" s="497" t="str">
        <f t="shared" si="6"/>
        <v/>
      </c>
      <c r="N18" s="48" t="str">
        <f t="shared" si="7"/>
        <v/>
      </c>
      <c r="O18" s="48">
        <f t="shared" si="25"/>
        <v>38</v>
      </c>
      <c r="P18" s="49" t="str">
        <f>IF(K18="","",IF(MOD(K18-2,7),"",INT((9+K18-MOD(K18-2,7)-DATE(YEAR(3+K18-MOD(K18-2,7)),1,))/7)))</f>
        <v/>
      </c>
      <c r="Q18" s="50"/>
      <c r="R18" s="161" t="str">
        <f t="shared" si="8"/>
        <v>Di</v>
      </c>
      <c r="S18" s="162">
        <f>+S16+1</f>
        <v>44262</v>
      </c>
      <c r="T18" s="47" t="str">
        <f t="shared" si="9"/>
        <v/>
      </c>
      <c r="U18" s="497" t="str">
        <f t="shared" si="10"/>
        <v/>
      </c>
      <c r="V18" s="48" t="str">
        <f t="shared" si="11"/>
        <v/>
      </c>
      <c r="W18" s="48">
        <f t="shared" si="26"/>
        <v>66</v>
      </c>
      <c r="X18" s="49" t="str">
        <f>IF(S18="","",IF(MOD(S18-2,7),"",INT((9+S18-MOD(S18-2,7)-DATE(YEAR(3+S18-MOD(S18-2,7)),1,))/7)))</f>
        <v/>
      </c>
      <c r="Y18" s="50"/>
      <c r="Z18" s="161" t="str">
        <f t="shared" si="12"/>
        <v>Me</v>
      </c>
      <c r="AA18" s="162">
        <f>+AA16+1</f>
        <v>44293</v>
      </c>
      <c r="AB18" s="47" t="str">
        <f t="shared" si="13"/>
        <v/>
      </c>
      <c r="AC18" s="497" t="str">
        <f t="shared" si="14"/>
        <v/>
      </c>
      <c r="AD18" s="48" t="str">
        <f t="shared" si="15"/>
        <v/>
      </c>
      <c r="AE18" s="48">
        <f t="shared" si="27"/>
        <v>97</v>
      </c>
      <c r="AF18" s="49" t="str">
        <f>IF(AA18="","",IF(MOD(AA18-2,7),"",INT((9+AA18-MOD(AA18-2,7)-DATE(YEAR(3+AA18-MOD(AA18-2,7)),1,))/7)))</f>
        <v/>
      </c>
      <c r="AG18" s="50"/>
      <c r="AH18" s="161" t="str">
        <f t="shared" si="16"/>
        <v>Ve</v>
      </c>
      <c r="AI18" s="162">
        <f>+AI16+1</f>
        <v>44323</v>
      </c>
      <c r="AJ18" s="47" t="str">
        <f t="shared" si="17"/>
        <v/>
      </c>
      <c r="AK18" s="497" t="str">
        <f t="shared" si="18"/>
        <v/>
      </c>
      <c r="AL18" s="48" t="str">
        <f t="shared" si="19"/>
        <v/>
      </c>
      <c r="AM18" s="48">
        <f t="shared" si="28"/>
        <v>127</v>
      </c>
      <c r="AN18" s="49" t="str">
        <f>IF(AI18="","",IF(MOD(AI18-2,7),"",INT((9+AI18-MOD(AI18-2,7)-DATE(YEAR(3+AI18-MOD(AI18-2,7)),1,))/7)))</f>
        <v/>
      </c>
      <c r="AO18" s="50"/>
      <c r="AP18" s="161" t="str">
        <f t="shared" si="20"/>
        <v>Lu</v>
      </c>
      <c r="AQ18" s="162">
        <f>+AQ16+1</f>
        <v>44354</v>
      </c>
      <c r="AR18" s="47" t="str">
        <f t="shared" si="21"/>
        <v/>
      </c>
      <c r="AS18" s="497" t="str">
        <f t="shared" si="22"/>
        <v/>
      </c>
      <c r="AT18" s="48" t="str">
        <f t="shared" si="23"/>
        <v/>
      </c>
      <c r="AU18" s="48">
        <f t="shared" si="29"/>
        <v>158</v>
      </c>
      <c r="AV18" s="49">
        <f t="shared" si="30"/>
        <v>23</v>
      </c>
      <c r="AW18" s="403"/>
    </row>
    <row r="19" spans="1:49" s="3" customFormat="1" ht="4" customHeight="1" x14ac:dyDescent="0.15">
      <c r="A19" s="402"/>
      <c r="B19" s="161"/>
      <c r="C19" s="162"/>
      <c r="D19" s="47"/>
      <c r="E19" s="497"/>
      <c r="F19" s="48"/>
      <c r="G19" s="48" t="str">
        <f t="shared" si="24"/>
        <v/>
      </c>
      <c r="H19" s="49"/>
      <c r="I19" s="50"/>
      <c r="J19" s="161"/>
      <c r="K19" s="162"/>
      <c r="L19" s="47"/>
      <c r="M19" s="497"/>
      <c r="N19" s="48"/>
      <c r="O19" s="48" t="str">
        <f t="shared" si="25"/>
        <v/>
      </c>
      <c r="P19" s="49"/>
      <c r="Q19" s="50"/>
      <c r="R19" s="161"/>
      <c r="S19" s="162"/>
      <c r="T19" s="47"/>
      <c r="U19" s="497"/>
      <c r="V19" s="48"/>
      <c r="W19" s="48" t="str">
        <f t="shared" si="26"/>
        <v/>
      </c>
      <c r="X19" s="49"/>
      <c r="Y19" s="50"/>
      <c r="Z19" s="161"/>
      <c r="AA19" s="162"/>
      <c r="AB19" s="47"/>
      <c r="AC19" s="497"/>
      <c r="AD19" s="48"/>
      <c r="AE19" s="48" t="str">
        <f t="shared" si="27"/>
        <v/>
      </c>
      <c r="AF19" s="49"/>
      <c r="AG19" s="50"/>
      <c r="AH19" s="161"/>
      <c r="AI19" s="162"/>
      <c r="AJ19" s="47"/>
      <c r="AK19" s="497"/>
      <c r="AL19" s="48"/>
      <c r="AM19" s="48" t="str">
        <f t="shared" si="28"/>
        <v/>
      </c>
      <c r="AN19" s="49"/>
      <c r="AO19" s="50"/>
      <c r="AP19" s="161"/>
      <c r="AQ19" s="162"/>
      <c r="AR19" s="47"/>
      <c r="AS19" s="497"/>
      <c r="AT19" s="48"/>
      <c r="AU19" s="48" t="str">
        <f t="shared" si="29"/>
        <v/>
      </c>
      <c r="AV19" s="49"/>
      <c r="AW19" s="403"/>
    </row>
    <row r="20" spans="1:49" s="3" customFormat="1" ht="18" customHeight="1" x14ac:dyDescent="0.15">
      <c r="A20" s="402"/>
      <c r="B20" s="161" t="str">
        <f t="shared" si="0"/>
        <v>Ve</v>
      </c>
      <c r="C20" s="162">
        <f>+C18+1</f>
        <v>44204</v>
      </c>
      <c r="D20" s="47" t="str">
        <f t="shared" si="1"/>
        <v/>
      </c>
      <c r="E20" s="497" t="str">
        <f t="shared" si="2"/>
        <v/>
      </c>
      <c r="F20" s="48" t="str">
        <f t="shared" si="3"/>
        <v/>
      </c>
      <c r="G20" s="48">
        <f t="shared" si="24"/>
        <v>8</v>
      </c>
      <c r="H20" s="49" t="str">
        <f>IF(C20="","",IF(MOD(C20-2,7),"",INT((9+C20-MOD(C20-2,7)-DATE(YEAR(3+C20-MOD(C20-2,7)),1,))/7)))</f>
        <v/>
      </c>
      <c r="I20" s="50"/>
      <c r="J20" s="161" t="str">
        <f t="shared" si="4"/>
        <v>Lu</v>
      </c>
      <c r="K20" s="162">
        <f>+K18+1</f>
        <v>44235</v>
      </c>
      <c r="L20" s="47" t="str">
        <f t="shared" si="5"/>
        <v/>
      </c>
      <c r="M20" s="497" t="str">
        <f t="shared" si="6"/>
        <v/>
      </c>
      <c r="N20" s="48" t="str">
        <f t="shared" si="7"/>
        <v/>
      </c>
      <c r="O20" s="48">
        <f t="shared" si="25"/>
        <v>39</v>
      </c>
      <c r="P20" s="49">
        <f>IF(K20="","",IF(MOD(K20-2,7),"",INT((9+K20-MOD(K20-2,7)-DATE(YEAR(3+K20-MOD(K20-2,7)),1,))/7)))</f>
        <v>6</v>
      </c>
      <c r="Q20" s="50"/>
      <c r="R20" s="161" t="str">
        <f t="shared" si="8"/>
        <v>Lu</v>
      </c>
      <c r="S20" s="162">
        <f>+S18+1</f>
        <v>44263</v>
      </c>
      <c r="T20" s="47" t="str">
        <f t="shared" si="9"/>
        <v/>
      </c>
      <c r="U20" s="497" t="str">
        <f t="shared" si="10"/>
        <v/>
      </c>
      <c r="V20" s="48" t="str">
        <f t="shared" si="11"/>
        <v/>
      </c>
      <c r="W20" s="48">
        <f t="shared" si="26"/>
        <v>67</v>
      </c>
      <c r="X20" s="49">
        <f>IF(S20="","",IF(MOD(S20-2,7),"",INT((9+S20-MOD(S20-2,7)-DATE(YEAR(3+S20-MOD(S20-2,7)),1,))/7)))</f>
        <v>10</v>
      </c>
      <c r="Y20" s="50"/>
      <c r="Z20" s="161" t="str">
        <f t="shared" si="12"/>
        <v>Je</v>
      </c>
      <c r="AA20" s="162">
        <f>+AA18+1</f>
        <v>44294</v>
      </c>
      <c r="AB20" s="47" t="str">
        <f t="shared" si="13"/>
        <v/>
      </c>
      <c r="AC20" s="497" t="str">
        <f t="shared" si="14"/>
        <v/>
      </c>
      <c r="AD20" s="48" t="str">
        <f t="shared" si="15"/>
        <v/>
      </c>
      <c r="AE20" s="48">
        <f t="shared" si="27"/>
        <v>98</v>
      </c>
      <c r="AF20" s="49" t="str">
        <f>IF(AA20="","",IF(MOD(AA20-2,7),"",INT((9+AA20-MOD(AA20-2,7)-DATE(YEAR(3+AA20-MOD(AA20-2,7)),1,))/7)))</f>
        <v/>
      </c>
      <c r="AG20" s="50"/>
      <c r="AH20" s="161" t="str">
        <f t="shared" si="16"/>
        <v>Sa</v>
      </c>
      <c r="AI20" s="162">
        <f>+AI18+1</f>
        <v>44324</v>
      </c>
      <c r="AJ20" s="47" t="str">
        <f t="shared" si="17"/>
        <v>F</v>
      </c>
      <c r="AK20" s="497" t="str">
        <f t="shared" si="18"/>
        <v/>
      </c>
      <c r="AL20" s="48" t="str">
        <f t="shared" si="19"/>
        <v>Victoire de 1945</v>
      </c>
      <c r="AM20" s="48">
        <f t="shared" si="28"/>
        <v>128</v>
      </c>
      <c r="AN20" s="49" t="str">
        <f>IF(AI20="","",IF(MOD(AI20-2,7),"",INT((9+AI20-MOD(AI20-2,7)-DATE(YEAR(3+AI20-MOD(AI20-2,7)),1,))/7)))</f>
        <v/>
      </c>
      <c r="AO20" s="50"/>
      <c r="AP20" s="161" t="str">
        <f t="shared" si="20"/>
        <v>Ma</v>
      </c>
      <c r="AQ20" s="162">
        <f>+AQ18+1</f>
        <v>44355</v>
      </c>
      <c r="AR20" s="47" t="str">
        <f t="shared" si="21"/>
        <v/>
      </c>
      <c r="AS20" s="497" t="str">
        <f t="shared" si="22"/>
        <v/>
      </c>
      <c r="AT20" s="48" t="str">
        <f t="shared" si="23"/>
        <v/>
      </c>
      <c r="AU20" s="48">
        <f t="shared" si="29"/>
        <v>159</v>
      </c>
      <c r="AV20" s="49" t="str">
        <f t="shared" si="30"/>
        <v/>
      </c>
      <c r="AW20" s="403"/>
    </row>
    <row r="21" spans="1:49" s="3" customFormat="1" ht="4" customHeight="1" x14ac:dyDescent="0.15">
      <c r="A21" s="402"/>
      <c r="B21" s="161"/>
      <c r="C21" s="162"/>
      <c r="D21" s="47"/>
      <c r="E21" s="497"/>
      <c r="F21" s="48"/>
      <c r="G21" s="48" t="str">
        <f t="shared" si="24"/>
        <v/>
      </c>
      <c r="H21" s="49"/>
      <c r="I21" s="50"/>
      <c r="J21" s="161"/>
      <c r="K21" s="162"/>
      <c r="L21" s="47"/>
      <c r="M21" s="497"/>
      <c r="N21" s="48"/>
      <c r="O21" s="48" t="str">
        <f t="shared" si="25"/>
        <v/>
      </c>
      <c r="P21" s="49"/>
      <c r="Q21" s="50"/>
      <c r="R21" s="161"/>
      <c r="S21" s="162"/>
      <c r="T21" s="47"/>
      <c r="U21" s="497"/>
      <c r="V21" s="48"/>
      <c r="W21" s="48" t="str">
        <f t="shared" si="26"/>
        <v/>
      </c>
      <c r="X21" s="49"/>
      <c r="Y21" s="50"/>
      <c r="Z21" s="161"/>
      <c r="AA21" s="162"/>
      <c r="AB21" s="47"/>
      <c r="AC21" s="497"/>
      <c r="AD21" s="48"/>
      <c r="AE21" s="48" t="str">
        <f t="shared" si="27"/>
        <v/>
      </c>
      <c r="AF21" s="49"/>
      <c r="AG21" s="50"/>
      <c r="AH21" s="161"/>
      <c r="AI21" s="162"/>
      <c r="AJ21" s="47"/>
      <c r="AK21" s="497"/>
      <c r="AL21" s="48"/>
      <c r="AM21" s="48" t="str">
        <f t="shared" si="28"/>
        <v/>
      </c>
      <c r="AN21" s="49"/>
      <c r="AO21" s="50"/>
      <c r="AP21" s="161"/>
      <c r="AQ21" s="162"/>
      <c r="AR21" s="47"/>
      <c r="AS21" s="497"/>
      <c r="AT21" s="48"/>
      <c r="AU21" s="48" t="str">
        <f t="shared" si="29"/>
        <v/>
      </c>
      <c r="AV21" s="49"/>
      <c r="AW21" s="403"/>
    </row>
    <row r="22" spans="1:49" s="3" customFormat="1" ht="18" customHeight="1" x14ac:dyDescent="0.15">
      <c r="A22" s="402"/>
      <c r="B22" s="161" t="str">
        <f t="shared" si="0"/>
        <v>Sa</v>
      </c>
      <c r="C22" s="162">
        <f>+C20+1</f>
        <v>44205</v>
      </c>
      <c r="D22" s="47" t="str">
        <f t="shared" si="1"/>
        <v/>
      </c>
      <c r="E22" s="497" t="str">
        <f t="shared" si="2"/>
        <v/>
      </c>
      <c r="F22" s="48" t="str">
        <f t="shared" si="3"/>
        <v/>
      </c>
      <c r="G22" s="48">
        <f t="shared" si="24"/>
        <v>9</v>
      </c>
      <c r="H22" s="49" t="str">
        <f>IF(C22="","",IF(MOD(C22-2,7),"",INT((9+C22-MOD(C22-2,7)-DATE(YEAR(3+C22-MOD(C22-2,7)),1,))/7)))</f>
        <v/>
      </c>
      <c r="I22" s="50"/>
      <c r="J22" s="161" t="str">
        <f t="shared" si="4"/>
        <v>Ma</v>
      </c>
      <c r="K22" s="162">
        <f>+K20+1</f>
        <v>44236</v>
      </c>
      <c r="L22" s="47" t="str">
        <f t="shared" si="5"/>
        <v/>
      </c>
      <c r="M22" s="497" t="str">
        <f t="shared" si="6"/>
        <v/>
      </c>
      <c r="N22" s="48" t="str">
        <f t="shared" si="7"/>
        <v/>
      </c>
      <c r="O22" s="48">
        <f t="shared" si="25"/>
        <v>40</v>
      </c>
      <c r="P22" s="49" t="str">
        <f>IF(K22="","",IF(MOD(K22-2,7),"",INT((9+K22-MOD(K22-2,7)-DATE(YEAR(3+K22-MOD(K22-2,7)),1,))/7)))</f>
        <v/>
      </c>
      <c r="Q22" s="50"/>
      <c r="R22" s="161" t="str">
        <f t="shared" si="8"/>
        <v>Ma</v>
      </c>
      <c r="S22" s="162">
        <f>+S20+1</f>
        <v>44264</v>
      </c>
      <c r="T22" s="47" t="str">
        <f t="shared" si="9"/>
        <v/>
      </c>
      <c r="U22" s="497" t="str">
        <f t="shared" si="10"/>
        <v/>
      </c>
      <c r="V22" s="48" t="str">
        <f t="shared" si="11"/>
        <v/>
      </c>
      <c r="W22" s="48">
        <f t="shared" si="26"/>
        <v>68</v>
      </c>
      <c r="X22" s="49" t="str">
        <f>IF(S22="","",IF(MOD(S22-2,7),"",INT((9+S22-MOD(S22-2,7)-DATE(YEAR(3+S22-MOD(S22-2,7)),1,))/7)))</f>
        <v/>
      </c>
      <c r="Y22" s="50"/>
      <c r="Z22" s="161" t="str">
        <f t="shared" si="12"/>
        <v>Ve</v>
      </c>
      <c r="AA22" s="162">
        <f>+AA20+1</f>
        <v>44295</v>
      </c>
      <c r="AB22" s="47" t="str">
        <f t="shared" si="13"/>
        <v/>
      </c>
      <c r="AC22" s="497" t="str">
        <f t="shared" si="14"/>
        <v/>
      </c>
      <c r="AD22" s="48" t="str">
        <f t="shared" si="15"/>
        <v/>
      </c>
      <c r="AE22" s="48">
        <f t="shared" si="27"/>
        <v>99</v>
      </c>
      <c r="AF22" s="49" t="str">
        <f>IF(AA22="","",IF(MOD(AA22-2,7),"",INT((9+AA22-MOD(AA22-2,7)-DATE(YEAR(3+AA22-MOD(AA22-2,7)),1,))/7)))</f>
        <v/>
      </c>
      <c r="AG22" s="50"/>
      <c r="AH22" s="161" t="str">
        <f t="shared" si="16"/>
        <v>Di</v>
      </c>
      <c r="AI22" s="162">
        <f>+AI20+1</f>
        <v>44325</v>
      </c>
      <c r="AJ22" s="47" t="str">
        <f t="shared" si="17"/>
        <v/>
      </c>
      <c r="AK22" s="497" t="str">
        <f t="shared" si="18"/>
        <v/>
      </c>
      <c r="AL22" s="48" t="str">
        <f t="shared" si="19"/>
        <v/>
      </c>
      <c r="AM22" s="48">
        <f t="shared" si="28"/>
        <v>129</v>
      </c>
      <c r="AN22" s="49" t="str">
        <f>IF(AI22="","",IF(MOD(AI22-2,7),"",INT((9+AI22-MOD(AI22-2,7)-DATE(YEAR(3+AI22-MOD(AI22-2,7)),1,))/7)))</f>
        <v/>
      </c>
      <c r="AO22" s="50"/>
      <c r="AP22" s="161" t="str">
        <f t="shared" si="20"/>
        <v>Me</v>
      </c>
      <c r="AQ22" s="162">
        <f>+AQ20+1</f>
        <v>44356</v>
      </c>
      <c r="AR22" s="47" t="str">
        <f t="shared" si="21"/>
        <v/>
      </c>
      <c r="AS22" s="497" t="str">
        <f t="shared" si="22"/>
        <v/>
      </c>
      <c r="AT22" s="48" t="str">
        <f t="shared" si="23"/>
        <v/>
      </c>
      <c r="AU22" s="48">
        <f t="shared" si="29"/>
        <v>160</v>
      </c>
      <c r="AV22" s="49" t="str">
        <f t="shared" si="30"/>
        <v/>
      </c>
      <c r="AW22" s="403"/>
    </row>
    <row r="23" spans="1:49" s="3" customFormat="1" ht="4" customHeight="1" x14ac:dyDescent="0.15">
      <c r="A23" s="402"/>
      <c r="B23" s="161"/>
      <c r="C23" s="162"/>
      <c r="D23" s="47"/>
      <c r="E23" s="497"/>
      <c r="F23" s="48"/>
      <c r="G23" s="48" t="str">
        <f t="shared" si="24"/>
        <v/>
      </c>
      <c r="H23" s="49"/>
      <c r="I23" s="50"/>
      <c r="J23" s="161"/>
      <c r="K23" s="162"/>
      <c r="L23" s="47"/>
      <c r="M23" s="497"/>
      <c r="N23" s="48"/>
      <c r="O23" s="48" t="str">
        <f t="shared" si="25"/>
        <v/>
      </c>
      <c r="P23" s="49"/>
      <c r="Q23" s="50"/>
      <c r="R23" s="161"/>
      <c r="S23" s="162"/>
      <c r="T23" s="47"/>
      <c r="U23" s="497"/>
      <c r="V23" s="48"/>
      <c r="W23" s="48" t="str">
        <f t="shared" si="26"/>
        <v/>
      </c>
      <c r="X23" s="49"/>
      <c r="Y23" s="50"/>
      <c r="Z23" s="161"/>
      <c r="AA23" s="162"/>
      <c r="AB23" s="47"/>
      <c r="AC23" s="497"/>
      <c r="AD23" s="48"/>
      <c r="AE23" s="48" t="str">
        <f t="shared" si="27"/>
        <v/>
      </c>
      <c r="AF23" s="49"/>
      <c r="AG23" s="50"/>
      <c r="AH23" s="161"/>
      <c r="AI23" s="162"/>
      <c r="AJ23" s="47"/>
      <c r="AK23" s="497"/>
      <c r="AL23" s="48"/>
      <c r="AM23" s="48" t="str">
        <f t="shared" si="28"/>
        <v/>
      </c>
      <c r="AN23" s="49"/>
      <c r="AO23" s="50"/>
      <c r="AP23" s="161"/>
      <c r="AQ23" s="162"/>
      <c r="AR23" s="47"/>
      <c r="AS23" s="497"/>
      <c r="AT23" s="48"/>
      <c r="AU23" s="48" t="str">
        <f t="shared" si="29"/>
        <v/>
      </c>
      <c r="AV23" s="49"/>
      <c r="AW23" s="403"/>
    </row>
    <row r="24" spans="1:49" s="3" customFormat="1" ht="18" customHeight="1" x14ac:dyDescent="0.15">
      <c r="A24" s="402"/>
      <c r="B24" s="161" t="str">
        <f t="shared" si="0"/>
        <v>Di</v>
      </c>
      <c r="C24" s="162">
        <f>+C22+1</f>
        <v>44206</v>
      </c>
      <c r="D24" s="47" t="str">
        <f t="shared" si="1"/>
        <v/>
      </c>
      <c r="E24" s="497" t="str">
        <f t="shared" si="2"/>
        <v/>
      </c>
      <c r="F24" s="48" t="str">
        <f t="shared" si="3"/>
        <v/>
      </c>
      <c r="G24" s="48">
        <f t="shared" si="24"/>
        <v>10</v>
      </c>
      <c r="H24" s="49" t="str">
        <f>IF(C24="","",IF(MOD(C24-2,7),"",INT((9+C24-MOD(C24-2,7)-DATE(YEAR(3+C24-MOD(C24-2,7)),1,))/7)))</f>
        <v/>
      </c>
      <c r="I24" s="50"/>
      <c r="J24" s="161" t="str">
        <f t="shared" si="4"/>
        <v>Me</v>
      </c>
      <c r="K24" s="162">
        <f>+K22+1</f>
        <v>44237</v>
      </c>
      <c r="L24" s="47" t="str">
        <f t="shared" si="5"/>
        <v/>
      </c>
      <c r="M24" s="497" t="str">
        <f t="shared" si="6"/>
        <v/>
      </c>
      <c r="N24" s="48" t="str">
        <f t="shared" si="7"/>
        <v/>
      </c>
      <c r="O24" s="48">
        <f t="shared" si="25"/>
        <v>41</v>
      </c>
      <c r="P24" s="49" t="str">
        <f>IF(K24="","",IF(MOD(K24-2,7),"",INT((9+K24-MOD(K24-2,7)-DATE(YEAR(3+K24-MOD(K24-2,7)),1,))/7)))</f>
        <v/>
      </c>
      <c r="Q24" s="50"/>
      <c r="R24" s="161" t="str">
        <f t="shared" si="8"/>
        <v>Me</v>
      </c>
      <c r="S24" s="162">
        <f>+S22+1</f>
        <v>44265</v>
      </c>
      <c r="T24" s="47" t="str">
        <f t="shared" si="9"/>
        <v/>
      </c>
      <c r="U24" s="497" t="str">
        <f t="shared" si="10"/>
        <v/>
      </c>
      <c r="V24" s="48" t="str">
        <f t="shared" si="11"/>
        <v/>
      </c>
      <c r="W24" s="48">
        <f t="shared" si="26"/>
        <v>69</v>
      </c>
      <c r="X24" s="49" t="str">
        <f>IF(S24="","",IF(MOD(S24-2,7),"",INT((9+S24-MOD(S24-2,7)-DATE(YEAR(3+S24-MOD(S24-2,7)),1,))/7)))</f>
        <v/>
      </c>
      <c r="Y24" s="50"/>
      <c r="Z24" s="161" t="str">
        <f t="shared" si="12"/>
        <v>Sa</v>
      </c>
      <c r="AA24" s="162">
        <f>+AA22+1</f>
        <v>44296</v>
      </c>
      <c r="AB24" s="47" t="str">
        <f t="shared" si="13"/>
        <v/>
      </c>
      <c r="AC24" s="497" t="str">
        <f t="shared" si="14"/>
        <v/>
      </c>
      <c r="AD24" s="48" t="str">
        <f t="shared" si="15"/>
        <v/>
      </c>
      <c r="AE24" s="48">
        <f t="shared" si="27"/>
        <v>100</v>
      </c>
      <c r="AF24" s="49" t="str">
        <f>IF(AA24="","",IF(MOD(AA24-2,7),"",INT((9+AA24-MOD(AA24-2,7)-DATE(YEAR(3+AA24-MOD(AA24-2,7)),1,))/7)))</f>
        <v/>
      </c>
      <c r="AG24" s="50"/>
      <c r="AH24" s="161" t="str">
        <f t="shared" si="16"/>
        <v>Lu</v>
      </c>
      <c r="AI24" s="162">
        <f>+AI22+1</f>
        <v>44326</v>
      </c>
      <c r="AJ24" s="47" t="str">
        <f t="shared" si="17"/>
        <v/>
      </c>
      <c r="AK24" s="497" t="str">
        <f t="shared" si="18"/>
        <v/>
      </c>
      <c r="AL24" s="48" t="str">
        <f t="shared" si="19"/>
        <v/>
      </c>
      <c r="AM24" s="48">
        <f t="shared" si="28"/>
        <v>130</v>
      </c>
      <c r="AN24" s="49">
        <f>IF(AI24="","",IF(MOD(AI24-2,7),"",INT((9+AI24-MOD(AI24-2,7)-DATE(YEAR(3+AI24-MOD(AI24-2,7)),1,))/7)))</f>
        <v>19</v>
      </c>
      <c r="AO24" s="50"/>
      <c r="AP24" s="161" t="str">
        <f t="shared" si="20"/>
        <v>Je</v>
      </c>
      <c r="AQ24" s="162">
        <f>+AQ22+1</f>
        <v>44357</v>
      </c>
      <c r="AR24" s="47" t="str">
        <f t="shared" si="21"/>
        <v/>
      </c>
      <c r="AS24" s="497" t="str">
        <f t="shared" si="22"/>
        <v>🌑</v>
      </c>
      <c r="AT24" s="48" t="str">
        <f t="shared" si="23"/>
        <v/>
      </c>
      <c r="AU24" s="48">
        <f t="shared" si="29"/>
        <v>161</v>
      </c>
      <c r="AV24" s="49" t="str">
        <f t="shared" si="30"/>
        <v/>
      </c>
      <c r="AW24" s="403"/>
    </row>
    <row r="25" spans="1:49" s="3" customFormat="1" ht="4" customHeight="1" x14ac:dyDescent="0.15">
      <c r="A25" s="402"/>
      <c r="B25" s="161"/>
      <c r="C25" s="162"/>
      <c r="D25" s="47"/>
      <c r="E25" s="497"/>
      <c r="F25" s="48"/>
      <c r="G25" s="48" t="str">
        <f t="shared" si="24"/>
        <v/>
      </c>
      <c r="H25" s="49"/>
      <c r="I25" s="50"/>
      <c r="J25" s="161"/>
      <c r="K25" s="162"/>
      <c r="L25" s="47"/>
      <c r="M25" s="497"/>
      <c r="N25" s="48"/>
      <c r="O25" s="48" t="str">
        <f t="shared" si="25"/>
        <v/>
      </c>
      <c r="P25" s="49"/>
      <c r="Q25" s="50"/>
      <c r="R25" s="161"/>
      <c r="S25" s="162"/>
      <c r="T25" s="47"/>
      <c r="U25" s="497"/>
      <c r="V25" s="48"/>
      <c r="W25" s="48" t="str">
        <f t="shared" si="26"/>
        <v/>
      </c>
      <c r="X25" s="49"/>
      <c r="Y25" s="50"/>
      <c r="Z25" s="161"/>
      <c r="AA25" s="162"/>
      <c r="AB25" s="47"/>
      <c r="AC25" s="497"/>
      <c r="AD25" s="48"/>
      <c r="AE25" s="48" t="str">
        <f t="shared" si="27"/>
        <v/>
      </c>
      <c r="AF25" s="49"/>
      <c r="AG25" s="50"/>
      <c r="AH25" s="161"/>
      <c r="AI25" s="162"/>
      <c r="AJ25" s="47"/>
      <c r="AK25" s="497"/>
      <c r="AL25" s="48"/>
      <c r="AM25" s="48" t="str">
        <f t="shared" si="28"/>
        <v/>
      </c>
      <c r="AN25" s="49"/>
      <c r="AO25" s="50"/>
      <c r="AP25" s="161"/>
      <c r="AQ25" s="162"/>
      <c r="AR25" s="47"/>
      <c r="AS25" s="497"/>
      <c r="AT25" s="48"/>
      <c r="AU25" s="48" t="str">
        <f t="shared" si="29"/>
        <v/>
      </c>
      <c r="AV25" s="49"/>
      <c r="AW25" s="403"/>
    </row>
    <row r="26" spans="1:49" s="3" customFormat="1" ht="18" customHeight="1" x14ac:dyDescent="0.15">
      <c r="A26" s="402"/>
      <c r="B26" s="161" t="str">
        <f t="shared" si="0"/>
        <v>Lu</v>
      </c>
      <c r="C26" s="162">
        <f>+C24+1</f>
        <v>44207</v>
      </c>
      <c r="D26" s="47" t="str">
        <f t="shared" si="1"/>
        <v/>
      </c>
      <c r="E26" s="497" t="str">
        <f t="shared" si="2"/>
        <v/>
      </c>
      <c r="F26" s="48" t="str">
        <f t="shared" si="3"/>
        <v/>
      </c>
      <c r="G26" s="48">
        <f t="shared" si="24"/>
        <v>11</v>
      </c>
      <c r="H26" s="49">
        <f>IF(C26="","",IF(MOD(C26-2,7),"",INT((9+C26-MOD(C26-2,7)-DATE(YEAR(3+C26-MOD(C26-2,7)),1,))/7)))</f>
        <v>2</v>
      </c>
      <c r="I26" s="50"/>
      <c r="J26" s="161" t="str">
        <f t="shared" si="4"/>
        <v>Je</v>
      </c>
      <c r="K26" s="162">
        <f>+K24+1</f>
        <v>44238</v>
      </c>
      <c r="L26" s="47" t="str">
        <f t="shared" si="5"/>
        <v/>
      </c>
      <c r="M26" s="497" t="str">
        <f t="shared" si="6"/>
        <v>🌑</v>
      </c>
      <c r="N26" s="48" t="str">
        <f t="shared" si="7"/>
        <v/>
      </c>
      <c r="O26" s="48">
        <f t="shared" si="25"/>
        <v>42</v>
      </c>
      <c r="P26" s="49" t="str">
        <f>IF(K26="","",IF(MOD(K26-2,7),"",INT((9+K26-MOD(K26-2,7)-DATE(YEAR(3+K26-MOD(K26-2,7)),1,))/7)))</f>
        <v/>
      </c>
      <c r="Q26" s="50"/>
      <c r="R26" s="161" t="str">
        <f t="shared" si="8"/>
        <v>Je</v>
      </c>
      <c r="S26" s="162">
        <f>+S24+1</f>
        <v>44266</v>
      </c>
      <c r="T26" s="47" t="str">
        <f t="shared" si="9"/>
        <v/>
      </c>
      <c r="U26" s="497" t="str">
        <f t="shared" si="10"/>
        <v/>
      </c>
      <c r="V26" s="48" t="str">
        <f t="shared" si="11"/>
        <v/>
      </c>
      <c r="W26" s="48">
        <f t="shared" si="26"/>
        <v>70</v>
      </c>
      <c r="X26" s="49" t="str">
        <f>IF(S26="","",IF(MOD(S26-2,7),"",INT((9+S26-MOD(S26-2,7)-DATE(YEAR(3+S26-MOD(S26-2,7)),1,))/7)))</f>
        <v/>
      </c>
      <c r="Y26" s="50"/>
      <c r="Z26" s="161" t="str">
        <f t="shared" si="12"/>
        <v>Di</v>
      </c>
      <c r="AA26" s="162">
        <f>+AA24+1</f>
        <v>44297</v>
      </c>
      <c r="AB26" s="47" t="str">
        <f t="shared" si="13"/>
        <v/>
      </c>
      <c r="AC26" s="497" t="str">
        <f t="shared" si="14"/>
        <v/>
      </c>
      <c r="AD26" s="48" t="str">
        <f t="shared" si="15"/>
        <v/>
      </c>
      <c r="AE26" s="48">
        <f t="shared" si="27"/>
        <v>101</v>
      </c>
      <c r="AF26" s="49" t="str">
        <f>IF(AA26="","",IF(MOD(AA26-2,7),"",INT((9+AA26-MOD(AA26-2,7)-DATE(YEAR(3+AA26-MOD(AA26-2,7)),1,))/7)))</f>
        <v/>
      </c>
      <c r="AG26" s="50"/>
      <c r="AH26" s="161" t="str">
        <f t="shared" si="16"/>
        <v>Ma</v>
      </c>
      <c r="AI26" s="162">
        <f>+AI24+1</f>
        <v>44327</v>
      </c>
      <c r="AJ26" s="47">
        <f t="shared" si="17"/>
        <v>0</v>
      </c>
      <c r="AK26" s="497" t="str">
        <f t="shared" si="18"/>
        <v>🌑</v>
      </c>
      <c r="AL26" s="48" t="str">
        <f t="shared" si="19"/>
        <v>🌡St de glace (Mamert)</v>
      </c>
      <c r="AM26" s="48">
        <f t="shared" si="28"/>
        <v>131</v>
      </c>
      <c r="AN26" s="49" t="str">
        <f>IF(AI26="","",IF(MOD(AI26-2,7),"",INT((9+AI26-MOD(AI26-2,7)-DATE(YEAR(3+AI26-MOD(AI26-2,7)),1,))/7)))</f>
        <v/>
      </c>
      <c r="AO26" s="50"/>
      <c r="AP26" s="161" t="str">
        <f t="shared" si="20"/>
        <v>Ve</v>
      </c>
      <c r="AQ26" s="162">
        <f>+AQ24+1</f>
        <v>44358</v>
      </c>
      <c r="AR26" s="47" t="str">
        <f t="shared" si="21"/>
        <v/>
      </c>
      <c r="AS26" s="497" t="str">
        <f t="shared" si="22"/>
        <v/>
      </c>
      <c r="AT26" s="48" t="str">
        <f t="shared" si="23"/>
        <v/>
      </c>
      <c r="AU26" s="48">
        <f t="shared" si="29"/>
        <v>162</v>
      </c>
      <c r="AV26" s="49" t="str">
        <f t="shared" si="30"/>
        <v/>
      </c>
      <c r="AW26" s="403"/>
    </row>
    <row r="27" spans="1:49" s="3" customFormat="1" ht="4" customHeight="1" x14ac:dyDescent="0.15">
      <c r="A27" s="402"/>
      <c r="B27" s="161"/>
      <c r="C27" s="162"/>
      <c r="D27" s="47"/>
      <c r="E27" s="497"/>
      <c r="F27" s="48"/>
      <c r="G27" s="48" t="str">
        <f t="shared" si="24"/>
        <v/>
      </c>
      <c r="H27" s="49"/>
      <c r="I27" s="50"/>
      <c r="J27" s="161"/>
      <c r="K27" s="162"/>
      <c r="L27" s="47"/>
      <c r="M27" s="497"/>
      <c r="N27" s="48"/>
      <c r="O27" s="48" t="str">
        <f t="shared" si="25"/>
        <v/>
      </c>
      <c r="P27" s="49"/>
      <c r="Q27" s="50"/>
      <c r="R27" s="161"/>
      <c r="S27" s="162"/>
      <c r="T27" s="47"/>
      <c r="U27" s="497"/>
      <c r="V27" s="48"/>
      <c r="W27" s="48" t="str">
        <f t="shared" si="26"/>
        <v/>
      </c>
      <c r="X27" s="49"/>
      <c r="Y27" s="50"/>
      <c r="Z27" s="161"/>
      <c r="AA27" s="162"/>
      <c r="AB27" s="47"/>
      <c r="AC27" s="497"/>
      <c r="AD27" s="48"/>
      <c r="AE27" s="48" t="str">
        <f t="shared" si="27"/>
        <v/>
      </c>
      <c r="AF27" s="49"/>
      <c r="AG27" s="50"/>
      <c r="AH27" s="161"/>
      <c r="AI27" s="162"/>
      <c r="AJ27" s="47"/>
      <c r="AK27" s="497"/>
      <c r="AL27" s="48"/>
      <c r="AM27" s="48" t="str">
        <f t="shared" si="28"/>
        <v/>
      </c>
      <c r="AN27" s="49"/>
      <c r="AO27" s="50"/>
      <c r="AP27" s="161"/>
      <c r="AQ27" s="162"/>
      <c r="AR27" s="47"/>
      <c r="AS27" s="497"/>
      <c r="AT27" s="48"/>
      <c r="AU27" s="48" t="str">
        <f t="shared" si="29"/>
        <v/>
      </c>
      <c r="AV27" s="49"/>
      <c r="AW27" s="403"/>
    </row>
    <row r="28" spans="1:49" s="3" customFormat="1" ht="18" customHeight="1" x14ac:dyDescent="0.15">
      <c r="A28" s="402"/>
      <c r="B28" s="161" t="str">
        <f t="shared" si="0"/>
        <v>Ma</v>
      </c>
      <c r="C28" s="162">
        <f>+C26+1</f>
        <v>44208</v>
      </c>
      <c r="D28" s="47" t="str">
        <f t="shared" si="1"/>
        <v/>
      </c>
      <c r="E28" s="497" t="str">
        <f t="shared" si="2"/>
        <v/>
      </c>
      <c r="F28" s="48" t="str">
        <f t="shared" si="3"/>
        <v/>
      </c>
      <c r="G28" s="48">
        <f t="shared" si="24"/>
        <v>12</v>
      </c>
      <c r="H28" s="49" t="str">
        <f>IF(C28="","",IF(MOD(C28-2,7),"",INT((9+C28-MOD(C28-2,7)-DATE(YEAR(3+C28-MOD(C28-2,7)),1,))/7)))</f>
        <v/>
      </c>
      <c r="I28" s="50"/>
      <c r="J28" s="161" t="str">
        <f t="shared" si="4"/>
        <v>Ve</v>
      </c>
      <c r="K28" s="162">
        <f>+K26+1</f>
        <v>44239</v>
      </c>
      <c r="L28" s="47" t="str">
        <f t="shared" si="5"/>
        <v/>
      </c>
      <c r="M28" s="497" t="str">
        <f t="shared" si="6"/>
        <v/>
      </c>
      <c r="N28" s="48" t="str">
        <f t="shared" si="7"/>
        <v/>
      </c>
      <c r="O28" s="48">
        <f t="shared" si="25"/>
        <v>43</v>
      </c>
      <c r="P28" s="49" t="str">
        <f>IF(K28="","",IF(MOD(K28-2,7),"",INT((9+K28-MOD(K28-2,7)-DATE(YEAR(3+K28-MOD(K28-2,7)),1,))/7)))</f>
        <v/>
      </c>
      <c r="Q28" s="50"/>
      <c r="R28" s="161" t="str">
        <f t="shared" si="8"/>
        <v>Ve</v>
      </c>
      <c r="S28" s="162">
        <f>+S26+1</f>
        <v>44267</v>
      </c>
      <c r="T28" s="47" t="str">
        <f t="shared" si="9"/>
        <v/>
      </c>
      <c r="U28" s="497" t="str">
        <f t="shared" si="10"/>
        <v/>
      </c>
      <c r="V28" s="48" t="str">
        <f t="shared" si="11"/>
        <v/>
      </c>
      <c r="W28" s="48">
        <f t="shared" si="26"/>
        <v>71</v>
      </c>
      <c r="X28" s="49" t="str">
        <f>IF(S28="","",IF(MOD(S28-2,7),"",INT((9+S28-MOD(S28-2,7)-DATE(YEAR(3+S28-MOD(S28-2,7)),1,))/7)))</f>
        <v/>
      </c>
      <c r="Y28" s="50"/>
      <c r="Z28" s="161" t="str">
        <f t="shared" si="12"/>
        <v>Lu</v>
      </c>
      <c r="AA28" s="162">
        <f>+AA26+1</f>
        <v>44298</v>
      </c>
      <c r="AB28" s="47" t="str">
        <f t="shared" si="13"/>
        <v/>
      </c>
      <c r="AC28" s="497" t="str">
        <f t="shared" si="14"/>
        <v>🌑</v>
      </c>
      <c r="AD28" s="48" t="str">
        <f t="shared" si="15"/>
        <v/>
      </c>
      <c r="AE28" s="48">
        <f t="shared" si="27"/>
        <v>102</v>
      </c>
      <c r="AF28" s="49">
        <f>IF(AA28="","",IF(MOD(AA28-2,7),"",INT((9+AA28-MOD(AA28-2,7)-DATE(YEAR(3+AA28-MOD(AA28-2,7)),1,))/7)))</f>
        <v>15</v>
      </c>
      <c r="AG28" s="50"/>
      <c r="AH28" s="161" t="str">
        <f t="shared" si="16"/>
        <v>Me</v>
      </c>
      <c r="AI28" s="162">
        <f>+AI26+1</f>
        <v>44328</v>
      </c>
      <c r="AJ28" s="47">
        <f t="shared" si="17"/>
        <v>0</v>
      </c>
      <c r="AK28" s="497" t="str">
        <f t="shared" si="18"/>
        <v/>
      </c>
      <c r="AL28" s="48" t="str">
        <f t="shared" si="19"/>
        <v>🌡St de glace (Pancrace)</v>
      </c>
      <c r="AM28" s="48">
        <f t="shared" si="28"/>
        <v>132</v>
      </c>
      <c r="AN28" s="49" t="str">
        <f>IF(AI28="","",IF(MOD(AI28-2,7),"",INT((9+AI28-MOD(AI28-2,7)-DATE(YEAR(3+AI28-MOD(AI28-2,7)),1,))/7)))</f>
        <v/>
      </c>
      <c r="AO28" s="50"/>
      <c r="AP28" s="161" t="str">
        <f t="shared" si="20"/>
        <v>Sa</v>
      </c>
      <c r="AQ28" s="162">
        <f>+AQ26+1</f>
        <v>44359</v>
      </c>
      <c r="AR28" s="47" t="str">
        <f t="shared" si="21"/>
        <v/>
      </c>
      <c r="AS28" s="497" t="str">
        <f t="shared" si="22"/>
        <v/>
      </c>
      <c r="AT28" s="48" t="str">
        <f t="shared" si="23"/>
        <v/>
      </c>
      <c r="AU28" s="48">
        <f t="shared" si="29"/>
        <v>163</v>
      </c>
      <c r="AV28" s="49" t="str">
        <f t="shared" si="30"/>
        <v/>
      </c>
      <c r="AW28" s="403"/>
    </row>
    <row r="29" spans="1:49" s="3" customFormat="1" ht="4" customHeight="1" x14ac:dyDescent="0.15">
      <c r="A29" s="402"/>
      <c r="B29" s="161"/>
      <c r="C29" s="162"/>
      <c r="D29" s="47"/>
      <c r="E29" s="497"/>
      <c r="F29" s="48"/>
      <c r="G29" s="48" t="str">
        <f t="shared" si="24"/>
        <v/>
      </c>
      <c r="H29" s="49"/>
      <c r="I29" s="50"/>
      <c r="J29" s="161"/>
      <c r="K29" s="162"/>
      <c r="L29" s="47"/>
      <c r="M29" s="497"/>
      <c r="N29" s="48"/>
      <c r="O29" s="48" t="str">
        <f t="shared" si="25"/>
        <v/>
      </c>
      <c r="P29" s="49"/>
      <c r="Q29" s="50"/>
      <c r="R29" s="161"/>
      <c r="S29" s="162"/>
      <c r="T29" s="47"/>
      <c r="U29" s="497"/>
      <c r="V29" s="48"/>
      <c r="W29" s="48" t="str">
        <f t="shared" si="26"/>
        <v/>
      </c>
      <c r="X29" s="49"/>
      <c r="Y29" s="50"/>
      <c r="Z29" s="161"/>
      <c r="AA29" s="162"/>
      <c r="AB29" s="47"/>
      <c r="AC29" s="497"/>
      <c r="AD29" s="48"/>
      <c r="AE29" s="48" t="str">
        <f t="shared" si="27"/>
        <v/>
      </c>
      <c r="AF29" s="49"/>
      <c r="AG29" s="50"/>
      <c r="AH29" s="161"/>
      <c r="AI29" s="162"/>
      <c r="AJ29" s="47"/>
      <c r="AK29" s="497"/>
      <c r="AL29" s="48"/>
      <c r="AM29" s="48" t="str">
        <f t="shared" si="28"/>
        <v/>
      </c>
      <c r="AN29" s="49"/>
      <c r="AO29" s="50"/>
      <c r="AP29" s="161"/>
      <c r="AQ29" s="162"/>
      <c r="AR29" s="47"/>
      <c r="AS29" s="497"/>
      <c r="AT29" s="48"/>
      <c r="AU29" s="48" t="str">
        <f t="shared" si="29"/>
        <v/>
      </c>
      <c r="AV29" s="49"/>
      <c r="AW29" s="403"/>
    </row>
    <row r="30" spans="1:49" s="3" customFormat="1" ht="18" customHeight="1" x14ac:dyDescent="0.15">
      <c r="A30" s="402"/>
      <c r="B30" s="161" t="str">
        <f t="shared" si="0"/>
        <v>Me</v>
      </c>
      <c r="C30" s="162">
        <f>+C28+1</f>
        <v>44209</v>
      </c>
      <c r="D30" s="47" t="str">
        <f t="shared" si="1"/>
        <v/>
      </c>
      <c r="E30" s="497" t="str">
        <f t="shared" si="2"/>
        <v>🌑</v>
      </c>
      <c r="F30" s="48" t="str">
        <f t="shared" si="3"/>
        <v/>
      </c>
      <c r="G30" s="48">
        <f t="shared" si="24"/>
        <v>13</v>
      </c>
      <c r="H30" s="49" t="str">
        <f>IF(C30="","",IF(MOD(C30-2,7),"",INT((9+C30-MOD(C30-2,7)-DATE(YEAR(3+C30-MOD(C30-2,7)),1,))/7)))</f>
        <v/>
      </c>
      <c r="I30" s="50"/>
      <c r="J30" s="161" t="str">
        <f t="shared" si="4"/>
        <v>Sa</v>
      </c>
      <c r="K30" s="162">
        <f>+K28+1</f>
        <v>44240</v>
      </c>
      <c r="L30" s="47" t="str">
        <f t="shared" si="5"/>
        <v/>
      </c>
      <c r="M30" s="497" t="str">
        <f t="shared" si="6"/>
        <v/>
      </c>
      <c r="N30" s="48" t="str">
        <f t="shared" si="7"/>
        <v/>
      </c>
      <c r="O30" s="48">
        <f t="shared" si="25"/>
        <v>44</v>
      </c>
      <c r="P30" s="49" t="str">
        <f>IF(K30="","",IF(MOD(K30-2,7),"",INT((9+K30-MOD(K30-2,7)-DATE(YEAR(3+K30-MOD(K30-2,7)),1,))/7)))</f>
        <v/>
      </c>
      <c r="Q30" s="50"/>
      <c r="R30" s="161" t="str">
        <f t="shared" si="8"/>
        <v>Sa</v>
      </c>
      <c r="S30" s="162">
        <f>+S28+1</f>
        <v>44268</v>
      </c>
      <c r="T30" s="47" t="str">
        <f t="shared" si="9"/>
        <v/>
      </c>
      <c r="U30" s="497" t="str">
        <f t="shared" si="10"/>
        <v>🌑</v>
      </c>
      <c r="V30" s="48" t="str">
        <f t="shared" si="11"/>
        <v/>
      </c>
      <c r="W30" s="48">
        <f t="shared" si="26"/>
        <v>72</v>
      </c>
      <c r="X30" s="49" t="str">
        <f>IF(S30="","",IF(MOD(S30-2,7),"",INT((9+S30-MOD(S30-2,7)-DATE(YEAR(3+S30-MOD(S30-2,7)),1,))/7)))</f>
        <v/>
      </c>
      <c r="Y30" s="50"/>
      <c r="Z30" s="161" t="str">
        <f t="shared" si="12"/>
        <v>Ma</v>
      </c>
      <c r="AA30" s="162">
        <f>+AA28+1</f>
        <v>44299</v>
      </c>
      <c r="AB30" s="47" t="str">
        <f t="shared" si="13"/>
        <v/>
      </c>
      <c r="AC30" s="497" t="str">
        <f t="shared" si="14"/>
        <v/>
      </c>
      <c r="AD30" s="48" t="str">
        <f t="shared" si="15"/>
        <v/>
      </c>
      <c r="AE30" s="48">
        <f t="shared" si="27"/>
        <v>103</v>
      </c>
      <c r="AF30" s="49" t="str">
        <f>IF(AA30="","",IF(MOD(AA30-2,7),"",INT((9+AA30-MOD(AA30-2,7)-DATE(YEAR(3+AA30-MOD(AA30-2,7)),1,))/7)))</f>
        <v/>
      </c>
      <c r="AG30" s="50"/>
      <c r="AH30" s="161" t="str">
        <f t="shared" si="16"/>
        <v>Je</v>
      </c>
      <c r="AI30" s="162">
        <f>+AI28+1</f>
        <v>44329</v>
      </c>
      <c r="AJ30" s="47" t="str">
        <f t="shared" si="17"/>
        <v>F</v>
      </c>
      <c r="AK30" s="497" t="str">
        <f t="shared" si="18"/>
        <v/>
      </c>
      <c r="AL30" s="48" t="str">
        <f t="shared" si="19"/>
        <v>Ascension</v>
      </c>
      <c r="AM30" s="48">
        <f t="shared" si="28"/>
        <v>133</v>
      </c>
      <c r="AN30" s="49" t="str">
        <f>IF(AI30="","",IF(MOD(AI30-2,7),"",INT((9+AI30-MOD(AI30-2,7)-DATE(YEAR(3+AI30-MOD(AI30-2,7)),1,))/7)))</f>
        <v/>
      </c>
      <c r="AO30" s="50"/>
      <c r="AP30" s="161" t="str">
        <f t="shared" si="20"/>
        <v>Di</v>
      </c>
      <c r="AQ30" s="162">
        <f>+AQ28+1</f>
        <v>44360</v>
      </c>
      <c r="AR30" s="47" t="str">
        <f t="shared" si="21"/>
        <v/>
      </c>
      <c r="AS30" s="497" t="str">
        <f t="shared" si="22"/>
        <v/>
      </c>
      <c r="AT30" s="48" t="str">
        <f t="shared" si="23"/>
        <v/>
      </c>
      <c r="AU30" s="48">
        <f t="shared" si="29"/>
        <v>164</v>
      </c>
      <c r="AV30" s="49" t="str">
        <f t="shared" si="30"/>
        <v/>
      </c>
      <c r="AW30" s="403"/>
    </row>
    <row r="31" spans="1:49" s="3" customFormat="1" ht="4" customHeight="1" x14ac:dyDescent="0.15">
      <c r="A31" s="402"/>
      <c r="B31" s="161"/>
      <c r="C31" s="162"/>
      <c r="D31" s="47"/>
      <c r="E31" s="497"/>
      <c r="F31" s="48"/>
      <c r="G31" s="48" t="str">
        <f t="shared" si="24"/>
        <v/>
      </c>
      <c r="H31" s="49"/>
      <c r="I31" s="50"/>
      <c r="J31" s="161"/>
      <c r="K31" s="162"/>
      <c r="L31" s="47"/>
      <c r="M31" s="497"/>
      <c r="N31" s="48"/>
      <c r="O31" s="48" t="str">
        <f t="shared" si="25"/>
        <v/>
      </c>
      <c r="P31" s="49"/>
      <c r="Q31" s="50"/>
      <c r="R31" s="161"/>
      <c r="S31" s="162"/>
      <c r="T31" s="47"/>
      <c r="U31" s="497"/>
      <c r="V31" s="48"/>
      <c r="W31" s="48" t="str">
        <f t="shared" si="26"/>
        <v/>
      </c>
      <c r="X31" s="49"/>
      <c r="Y31" s="50"/>
      <c r="Z31" s="161"/>
      <c r="AA31" s="162"/>
      <c r="AB31" s="47"/>
      <c r="AC31" s="497"/>
      <c r="AD31" s="48"/>
      <c r="AE31" s="48" t="str">
        <f t="shared" si="27"/>
        <v/>
      </c>
      <c r="AF31" s="49"/>
      <c r="AG31" s="50"/>
      <c r="AH31" s="161"/>
      <c r="AI31" s="162"/>
      <c r="AJ31" s="47"/>
      <c r="AK31" s="497"/>
      <c r="AL31" s="48"/>
      <c r="AM31" s="48" t="str">
        <f t="shared" si="28"/>
        <v/>
      </c>
      <c r="AN31" s="49"/>
      <c r="AO31" s="50"/>
      <c r="AP31" s="161"/>
      <c r="AQ31" s="162"/>
      <c r="AR31" s="47"/>
      <c r="AS31" s="497"/>
      <c r="AT31" s="48"/>
      <c r="AU31" s="48" t="str">
        <f t="shared" si="29"/>
        <v/>
      </c>
      <c r="AV31" s="49"/>
      <c r="AW31" s="403"/>
    </row>
    <row r="32" spans="1:49" s="3" customFormat="1" ht="18" customHeight="1" x14ac:dyDescent="0.15">
      <c r="A32" s="402"/>
      <c r="B32" s="161" t="str">
        <f t="shared" si="0"/>
        <v>Je</v>
      </c>
      <c r="C32" s="162">
        <f>+C30+1</f>
        <v>44210</v>
      </c>
      <c r="D32" s="47" t="str">
        <f t="shared" si="1"/>
        <v/>
      </c>
      <c r="E32" s="497" t="str">
        <f t="shared" si="2"/>
        <v/>
      </c>
      <c r="F32" s="48" t="str">
        <f t="shared" si="3"/>
        <v/>
      </c>
      <c r="G32" s="48">
        <f t="shared" si="24"/>
        <v>14</v>
      </c>
      <c r="H32" s="49" t="str">
        <f>IF(C32="","",IF(MOD(C32-2,7),"",INT((9+C32-MOD(C32-2,7)-DATE(YEAR(3+C32-MOD(C32-2,7)),1,))/7)))</f>
        <v/>
      </c>
      <c r="I32" s="50"/>
      <c r="J32" s="161" t="str">
        <f t="shared" si="4"/>
        <v>Di</v>
      </c>
      <c r="K32" s="162">
        <f>+K30+1</f>
        <v>44241</v>
      </c>
      <c r="L32" s="47" t="str">
        <f t="shared" si="5"/>
        <v/>
      </c>
      <c r="M32" s="497" t="str">
        <f t="shared" si="6"/>
        <v/>
      </c>
      <c r="N32" s="48" t="str">
        <f t="shared" si="7"/>
        <v/>
      </c>
      <c r="O32" s="48">
        <f t="shared" si="25"/>
        <v>45</v>
      </c>
      <c r="P32" s="49" t="str">
        <f>IF(K32="","",IF(MOD(K32-2,7),"",INT((9+K32-MOD(K32-2,7)-DATE(YEAR(3+K32-MOD(K32-2,7)),1,))/7)))</f>
        <v/>
      </c>
      <c r="Q32" s="50"/>
      <c r="R32" s="161" t="str">
        <f t="shared" si="8"/>
        <v>Di</v>
      </c>
      <c r="S32" s="162">
        <f>+S30+1</f>
        <v>44269</v>
      </c>
      <c r="T32" s="47" t="str">
        <f t="shared" si="9"/>
        <v/>
      </c>
      <c r="U32" s="497" t="str">
        <f t="shared" si="10"/>
        <v/>
      </c>
      <c r="V32" s="48" t="str">
        <f t="shared" si="11"/>
        <v/>
      </c>
      <c r="W32" s="48">
        <f t="shared" si="26"/>
        <v>73</v>
      </c>
      <c r="X32" s="49" t="str">
        <f>IF(S32="","",IF(MOD(S32-2,7),"",INT((9+S32-MOD(S32-2,7)-DATE(YEAR(3+S32-MOD(S32-2,7)),1,))/7)))</f>
        <v/>
      </c>
      <c r="Y32" s="50"/>
      <c r="Z32" s="161" t="str">
        <f t="shared" si="12"/>
        <v>Me</v>
      </c>
      <c r="AA32" s="162">
        <f>+AA30+1</f>
        <v>44300</v>
      </c>
      <c r="AB32" s="47" t="str">
        <f t="shared" si="13"/>
        <v/>
      </c>
      <c r="AC32" s="497" t="str">
        <f t="shared" si="14"/>
        <v/>
      </c>
      <c r="AD32" s="48" t="str">
        <f t="shared" si="15"/>
        <v/>
      </c>
      <c r="AE32" s="48">
        <f t="shared" si="27"/>
        <v>104</v>
      </c>
      <c r="AF32" s="49" t="str">
        <f>IF(AA32="","",IF(MOD(AA32-2,7),"",INT((9+AA32-MOD(AA32-2,7)-DATE(YEAR(3+AA32-MOD(AA32-2,7)),1,))/7)))</f>
        <v/>
      </c>
      <c r="AG32" s="50"/>
      <c r="AH32" s="161" t="str">
        <f t="shared" si="16"/>
        <v>Ve</v>
      </c>
      <c r="AI32" s="162">
        <f>+AI30+1</f>
        <v>44330</v>
      </c>
      <c r="AJ32" s="47" t="str">
        <f t="shared" si="17"/>
        <v/>
      </c>
      <c r="AK32" s="497" t="str">
        <f t="shared" si="18"/>
        <v/>
      </c>
      <c r="AL32" s="48" t="str">
        <f t="shared" si="19"/>
        <v/>
      </c>
      <c r="AM32" s="48">
        <f t="shared" si="28"/>
        <v>134</v>
      </c>
      <c r="AN32" s="49" t="str">
        <f>IF(AI32="","",IF(MOD(AI32-2,7),"",INT((9+AI32-MOD(AI32-2,7)-DATE(YEAR(3+AI32-MOD(AI32-2,7)),1,))/7)))</f>
        <v/>
      </c>
      <c r="AO32" s="50"/>
      <c r="AP32" s="161" t="str">
        <f t="shared" si="20"/>
        <v>Lu</v>
      </c>
      <c r="AQ32" s="162">
        <f>+AQ30+1</f>
        <v>44361</v>
      </c>
      <c r="AR32" s="47" t="str">
        <f t="shared" si="21"/>
        <v/>
      </c>
      <c r="AS32" s="497" t="str">
        <f t="shared" si="22"/>
        <v/>
      </c>
      <c r="AT32" s="48" t="str">
        <f t="shared" si="23"/>
        <v/>
      </c>
      <c r="AU32" s="48">
        <f t="shared" si="29"/>
        <v>165</v>
      </c>
      <c r="AV32" s="49">
        <f t="shared" si="30"/>
        <v>24</v>
      </c>
      <c r="AW32" s="403"/>
    </row>
    <row r="33" spans="1:49" s="3" customFormat="1" ht="4" customHeight="1" x14ac:dyDescent="0.15">
      <c r="A33" s="402"/>
      <c r="B33" s="161"/>
      <c r="C33" s="162"/>
      <c r="D33" s="47"/>
      <c r="E33" s="497"/>
      <c r="F33" s="48"/>
      <c r="G33" s="48" t="str">
        <f t="shared" si="24"/>
        <v/>
      </c>
      <c r="H33" s="49"/>
      <c r="I33" s="50"/>
      <c r="J33" s="161"/>
      <c r="K33" s="162"/>
      <c r="L33" s="47"/>
      <c r="M33" s="497"/>
      <c r="N33" s="48"/>
      <c r="O33" s="48" t="str">
        <f t="shared" si="25"/>
        <v/>
      </c>
      <c r="P33" s="49"/>
      <c r="Q33" s="50"/>
      <c r="R33" s="161"/>
      <c r="S33" s="162"/>
      <c r="T33" s="47"/>
      <c r="U33" s="497"/>
      <c r="V33" s="48"/>
      <c r="W33" s="48" t="str">
        <f t="shared" si="26"/>
        <v/>
      </c>
      <c r="X33" s="49"/>
      <c r="Y33" s="50"/>
      <c r="Z33" s="161"/>
      <c r="AA33" s="162"/>
      <c r="AB33" s="47"/>
      <c r="AC33" s="497"/>
      <c r="AD33" s="48"/>
      <c r="AE33" s="48" t="str">
        <f t="shared" si="27"/>
        <v/>
      </c>
      <c r="AF33" s="49"/>
      <c r="AG33" s="50"/>
      <c r="AH33" s="161"/>
      <c r="AI33" s="162"/>
      <c r="AJ33" s="47"/>
      <c r="AK33" s="497"/>
      <c r="AL33" s="48"/>
      <c r="AM33" s="48" t="str">
        <f t="shared" si="28"/>
        <v/>
      </c>
      <c r="AN33" s="49"/>
      <c r="AO33" s="50"/>
      <c r="AP33" s="161"/>
      <c r="AQ33" s="162"/>
      <c r="AR33" s="47"/>
      <c r="AS33" s="497"/>
      <c r="AT33" s="48"/>
      <c r="AU33" s="48" t="str">
        <f t="shared" si="29"/>
        <v/>
      </c>
      <c r="AV33" s="49"/>
      <c r="AW33" s="403"/>
    </row>
    <row r="34" spans="1:49" s="3" customFormat="1" ht="18" customHeight="1" x14ac:dyDescent="0.15">
      <c r="A34" s="402"/>
      <c r="B34" s="161" t="str">
        <f t="shared" si="0"/>
        <v>Ve</v>
      </c>
      <c r="C34" s="162">
        <f>+C32+1</f>
        <v>44211</v>
      </c>
      <c r="D34" s="47" t="str">
        <f t="shared" si="1"/>
        <v/>
      </c>
      <c r="E34" s="497" t="str">
        <f t="shared" si="2"/>
        <v/>
      </c>
      <c r="F34" s="48" t="str">
        <f t="shared" si="3"/>
        <v/>
      </c>
      <c r="G34" s="48">
        <f t="shared" si="24"/>
        <v>15</v>
      </c>
      <c r="H34" s="49" t="str">
        <f>IF(C34="","",IF(MOD(C34-2,7),"",INT((9+C34-MOD(C34-2,7)-DATE(YEAR(3+C34-MOD(C34-2,7)),1,))/7)))</f>
        <v/>
      </c>
      <c r="I34" s="50"/>
      <c r="J34" s="161" t="str">
        <f t="shared" si="4"/>
        <v>Lu</v>
      </c>
      <c r="K34" s="162">
        <f>+K32+1</f>
        <v>44242</v>
      </c>
      <c r="L34" s="47" t="str">
        <f t="shared" si="5"/>
        <v/>
      </c>
      <c r="M34" s="497" t="str">
        <f t="shared" si="6"/>
        <v/>
      </c>
      <c r="N34" s="48" t="str">
        <f t="shared" si="7"/>
        <v/>
      </c>
      <c r="O34" s="48">
        <f t="shared" si="25"/>
        <v>46</v>
      </c>
      <c r="P34" s="49">
        <f>IF(K34="","",IF(MOD(K34-2,7),"",INT((9+K34-MOD(K34-2,7)-DATE(YEAR(3+K34-MOD(K34-2,7)),1,))/7)))</f>
        <v>7</v>
      </c>
      <c r="Q34" s="50"/>
      <c r="R34" s="161" t="str">
        <f t="shared" si="8"/>
        <v>Lu</v>
      </c>
      <c r="S34" s="162">
        <f>+S32+1</f>
        <v>44270</v>
      </c>
      <c r="T34" s="47" t="str">
        <f t="shared" si="9"/>
        <v/>
      </c>
      <c r="U34" s="497" t="str">
        <f t="shared" si="10"/>
        <v/>
      </c>
      <c r="V34" s="48" t="str">
        <f t="shared" si="11"/>
        <v/>
      </c>
      <c r="W34" s="48">
        <f t="shared" si="26"/>
        <v>74</v>
      </c>
      <c r="X34" s="49">
        <f>IF(S34="","",IF(MOD(S34-2,7),"",INT((9+S34-MOD(S34-2,7)-DATE(YEAR(3+S34-MOD(S34-2,7)),1,))/7)))</f>
        <v>11</v>
      </c>
      <c r="Y34" s="50"/>
      <c r="Z34" s="161" t="str">
        <f t="shared" si="12"/>
        <v>Je</v>
      </c>
      <c r="AA34" s="162">
        <f>+AA32+1</f>
        <v>44301</v>
      </c>
      <c r="AB34" s="47" t="str">
        <f t="shared" si="13"/>
        <v/>
      </c>
      <c r="AC34" s="497" t="str">
        <f t="shared" si="14"/>
        <v/>
      </c>
      <c r="AD34" s="48" t="str">
        <f t="shared" si="15"/>
        <v/>
      </c>
      <c r="AE34" s="48">
        <f t="shared" si="27"/>
        <v>105</v>
      </c>
      <c r="AF34" s="49" t="str">
        <f>IF(AA34="","",IF(MOD(AA34-2,7),"",INT((9+AA34-MOD(AA34-2,7)-DATE(YEAR(3+AA34-MOD(AA34-2,7)),1,))/7)))</f>
        <v/>
      </c>
      <c r="AG34" s="50"/>
      <c r="AH34" s="161" t="str">
        <f t="shared" si="16"/>
        <v>Sa</v>
      </c>
      <c r="AI34" s="162">
        <f>+AI32+1</f>
        <v>44331</v>
      </c>
      <c r="AJ34" s="47" t="str">
        <f t="shared" si="17"/>
        <v/>
      </c>
      <c r="AK34" s="497" t="str">
        <f t="shared" si="18"/>
        <v/>
      </c>
      <c r="AL34" s="48" t="str">
        <f t="shared" si="19"/>
        <v/>
      </c>
      <c r="AM34" s="48">
        <f t="shared" si="28"/>
        <v>135</v>
      </c>
      <c r="AN34" s="49" t="str">
        <f>IF(AI34="","",IF(MOD(AI34-2,7),"",INT((9+AI34-MOD(AI34-2,7)-DATE(YEAR(3+AI34-MOD(AI34-2,7)),1,))/7)))</f>
        <v/>
      </c>
      <c r="AO34" s="50"/>
      <c r="AP34" s="161" t="str">
        <f t="shared" si="20"/>
        <v>Ma</v>
      </c>
      <c r="AQ34" s="162">
        <f>+AQ32+1</f>
        <v>44362</v>
      </c>
      <c r="AR34" s="47" t="str">
        <f t="shared" si="21"/>
        <v/>
      </c>
      <c r="AS34" s="497" t="str">
        <f t="shared" si="22"/>
        <v/>
      </c>
      <c r="AT34" s="48" t="str">
        <f t="shared" si="23"/>
        <v/>
      </c>
      <c r="AU34" s="48">
        <f t="shared" si="29"/>
        <v>166</v>
      </c>
      <c r="AV34" s="49" t="str">
        <f t="shared" si="30"/>
        <v/>
      </c>
      <c r="AW34" s="403"/>
    </row>
    <row r="35" spans="1:49" s="3" customFormat="1" ht="4" customHeight="1" x14ac:dyDescent="0.15">
      <c r="A35" s="402"/>
      <c r="B35" s="161"/>
      <c r="C35" s="162"/>
      <c r="D35" s="47"/>
      <c r="E35" s="497"/>
      <c r="F35" s="48"/>
      <c r="G35" s="48" t="str">
        <f t="shared" si="24"/>
        <v/>
      </c>
      <c r="H35" s="49"/>
      <c r="I35" s="50"/>
      <c r="J35" s="161"/>
      <c r="K35" s="162"/>
      <c r="L35" s="47"/>
      <c r="M35" s="497"/>
      <c r="N35" s="48"/>
      <c r="O35" s="48" t="str">
        <f t="shared" si="25"/>
        <v/>
      </c>
      <c r="P35" s="49"/>
      <c r="Q35" s="50"/>
      <c r="R35" s="161"/>
      <c r="S35" s="162"/>
      <c r="T35" s="47"/>
      <c r="U35" s="497"/>
      <c r="V35" s="48"/>
      <c r="W35" s="48" t="str">
        <f t="shared" si="26"/>
        <v/>
      </c>
      <c r="X35" s="49"/>
      <c r="Y35" s="50"/>
      <c r="Z35" s="161"/>
      <c r="AA35" s="162"/>
      <c r="AB35" s="47"/>
      <c r="AC35" s="497"/>
      <c r="AD35" s="48"/>
      <c r="AE35" s="48" t="str">
        <f t="shared" si="27"/>
        <v/>
      </c>
      <c r="AF35" s="49"/>
      <c r="AG35" s="50"/>
      <c r="AH35" s="161"/>
      <c r="AI35" s="162"/>
      <c r="AJ35" s="47"/>
      <c r="AK35" s="497"/>
      <c r="AL35" s="48"/>
      <c r="AM35" s="48" t="str">
        <f t="shared" si="28"/>
        <v/>
      </c>
      <c r="AN35" s="49"/>
      <c r="AO35" s="50"/>
      <c r="AP35" s="161"/>
      <c r="AQ35" s="162"/>
      <c r="AR35" s="47"/>
      <c r="AS35" s="497"/>
      <c r="AT35" s="48"/>
      <c r="AU35" s="48" t="str">
        <f t="shared" si="29"/>
        <v/>
      </c>
      <c r="AV35" s="49"/>
      <c r="AW35" s="403"/>
    </row>
    <row r="36" spans="1:49" s="3" customFormat="1" ht="18" customHeight="1" x14ac:dyDescent="0.15">
      <c r="A36" s="402"/>
      <c r="B36" s="161" t="str">
        <f t="shared" si="0"/>
        <v>Sa</v>
      </c>
      <c r="C36" s="162">
        <f>+C34+1</f>
        <v>44212</v>
      </c>
      <c r="D36" s="47" t="str">
        <f t="shared" si="1"/>
        <v/>
      </c>
      <c r="E36" s="497" t="str">
        <f t="shared" si="2"/>
        <v/>
      </c>
      <c r="F36" s="48" t="str">
        <f t="shared" si="3"/>
        <v/>
      </c>
      <c r="G36" s="48">
        <f t="shared" si="24"/>
        <v>16</v>
      </c>
      <c r="H36" s="49" t="str">
        <f>IF(C36="","",IF(MOD(C36-2,7),"",INT((9+C36-MOD(C36-2,7)-DATE(YEAR(3+C36-MOD(C36-2,7)),1,))/7)))</f>
        <v/>
      </c>
      <c r="I36" s="50"/>
      <c r="J36" s="161" t="str">
        <f t="shared" si="4"/>
        <v>Ma</v>
      </c>
      <c r="K36" s="162">
        <f>+K34+1</f>
        <v>44243</v>
      </c>
      <c r="L36" s="47" t="str">
        <f t="shared" si="5"/>
        <v/>
      </c>
      <c r="M36" s="497" t="str">
        <f t="shared" si="6"/>
        <v/>
      </c>
      <c r="N36" s="48" t="str">
        <f t="shared" si="7"/>
        <v/>
      </c>
      <c r="O36" s="48">
        <f t="shared" si="25"/>
        <v>47</v>
      </c>
      <c r="P36" s="49" t="str">
        <f>IF(K36="","",IF(MOD(K36-2,7),"",INT((9+K36-MOD(K36-2,7)-DATE(YEAR(3+K36-MOD(K36-2,7)),1,))/7)))</f>
        <v/>
      </c>
      <c r="Q36" s="50"/>
      <c r="R36" s="161" t="str">
        <f t="shared" si="8"/>
        <v>Ma</v>
      </c>
      <c r="S36" s="162">
        <f>+S34+1</f>
        <v>44271</v>
      </c>
      <c r="T36" s="47" t="str">
        <f t="shared" si="9"/>
        <v/>
      </c>
      <c r="U36" s="497" t="str">
        <f t="shared" si="10"/>
        <v/>
      </c>
      <c r="V36" s="48" t="str">
        <f t="shared" si="11"/>
        <v/>
      </c>
      <c r="W36" s="48">
        <f t="shared" si="26"/>
        <v>75</v>
      </c>
      <c r="X36" s="49" t="str">
        <f>IF(S36="","",IF(MOD(S36-2,7),"",INT((9+S36-MOD(S36-2,7)-DATE(YEAR(3+S36-MOD(S36-2,7)),1,))/7)))</f>
        <v/>
      </c>
      <c r="Y36" s="50"/>
      <c r="Z36" s="161" t="str">
        <f t="shared" si="12"/>
        <v>Ve</v>
      </c>
      <c r="AA36" s="162">
        <f>+AA34+1</f>
        <v>44302</v>
      </c>
      <c r="AB36" s="47" t="str">
        <f t="shared" si="13"/>
        <v/>
      </c>
      <c r="AC36" s="497" t="str">
        <f t="shared" si="14"/>
        <v/>
      </c>
      <c r="AD36" s="48" t="str">
        <f t="shared" si="15"/>
        <v/>
      </c>
      <c r="AE36" s="48">
        <f t="shared" si="27"/>
        <v>106</v>
      </c>
      <c r="AF36" s="49" t="str">
        <f>IF(AA36="","",IF(MOD(AA36-2,7),"",INT((9+AA36-MOD(AA36-2,7)-DATE(YEAR(3+AA36-MOD(AA36-2,7)),1,))/7)))</f>
        <v/>
      </c>
      <c r="AG36" s="50"/>
      <c r="AH36" s="161" t="str">
        <f t="shared" si="16"/>
        <v>Di</v>
      </c>
      <c r="AI36" s="162">
        <f>+AI34+1</f>
        <v>44332</v>
      </c>
      <c r="AJ36" s="47" t="str">
        <f t="shared" si="17"/>
        <v/>
      </c>
      <c r="AK36" s="497" t="str">
        <f t="shared" si="18"/>
        <v/>
      </c>
      <c r="AL36" s="48" t="str">
        <f t="shared" si="19"/>
        <v/>
      </c>
      <c r="AM36" s="48">
        <f t="shared" si="28"/>
        <v>136</v>
      </c>
      <c r="AN36" s="49" t="str">
        <f>IF(AI36="","",IF(MOD(AI36-2,7),"",INT((9+AI36-MOD(AI36-2,7)-DATE(YEAR(3+AI36-MOD(AI36-2,7)),1,))/7)))</f>
        <v/>
      </c>
      <c r="AO36" s="50"/>
      <c r="AP36" s="161" t="str">
        <f t="shared" si="20"/>
        <v>Me</v>
      </c>
      <c r="AQ36" s="162">
        <f>+AQ34+1</f>
        <v>44363</v>
      </c>
      <c r="AR36" s="47" t="str">
        <f t="shared" si="21"/>
        <v/>
      </c>
      <c r="AS36" s="497" t="str">
        <f t="shared" si="22"/>
        <v/>
      </c>
      <c r="AT36" s="48" t="str">
        <f t="shared" si="23"/>
        <v/>
      </c>
      <c r="AU36" s="48">
        <f t="shared" si="29"/>
        <v>167</v>
      </c>
      <c r="AV36" s="49" t="str">
        <f t="shared" si="30"/>
        <v/>
      </c>
      <c r="AW36" s="403"/>
    </row>
    <row r="37" spans="1:49" s="3" customFormat="1" ht="4" customHeight="1" x14ac:dyDescent="0.15">
      <c r="A37" s="402"/>
      <c r="B37" s="161"/>
      <c r="C37" s="162"/>
      <c r="D37" s="47"/>
      <c r="E37" s="497"/>
      <c r="F37" s="48"/>
      <c r="G37" s="48" t="str">
        <f t="shared" si="24"/>
        <v/>
      </c>
      <c r="H37" s="49"/>
      <c r="I37" s="50"/>
      <c r="J37" s="161"/>
      <c r="K37" s="162"/>
      <c r="L37" s="47"/>
      <c r="M37" s="497"/>
      <c r="N37" s="48"/>
      <c r="O37" s="48" t="str">
        <f t="shared" si="25"/>
        <v/>
      </c>
      <c r="P37" s="49"/>
      <c r="Q37" s="50"/>
      <c r="R37" s="161"/>
      <c r="S37" s="162"/>
      <c r="T37" s="47"/>
      <c r="U37" s="497"/>
      <c r="V37" s="48"/>
      <c r="W37" s="48" t="str">
        <f t="shared" si="26"/>
        <v/>
      </c>
      <c r="X37" s="49"/>
      <c r="Y37" s="50"/>
      <c r="Z37" s="161"/>
      <c r="AA37" s="162"/>
      <c r="AB37" s="47"/>
      <c r="AC37" s="497"/>
      <c r="AD37" s="48"/>
      <c r="AE37" s="48" t="str">
        <f t="shared" si="27"/>
        <v/>
      </c>
      <c r="AF37" s="49"/>
      <c r="AG37" s="50"/>
      <c r="AH37" s="161"/>
      <c r="AI37" s="162"/>
      <c r="AJ37" s="47"/>
      <c r="AK37" s="497"/>
      <c r="AL37" s="48"/>
      <c r="AM37" s="48" t="str">
        <f t="shared" si="28"/>
        <v/>
      </c>
      <c r="AN37" s="49"/>
      <c r="AO37" s="50"/>
      <c r="AP37" s="161"/>
      <c r="AQ37" s="162"/>
      <c r="AR37" s="47"/>
      <c r="AS37" s="497"/>
      <c r="AT37" s="48"/>
      <c r="AU37" s="48" t="str">
        <f t="shared" si="29"/>
        <v/>
      </c>
      <c r="AV37" s="49"/>
      <c r="AW37" s="403"/>
    </row>
    <row r="38" spans="1:49" s="3" customFormat="1" ht="18" customHeight="1" x14ac:dyDescent="0.15">
      <c r="A38" s="402"/>
      <c r="B38" s="161" t="str">
        <f t="shared" si="0"/>
        <v>Di</v>
      </c>
      <c r="C38" s="162">
        <f>+C36+1</f>
        <v>44213</v>
      </c>
      <c r="D38" s="47" t="str">
        <f t="shared" si="1"/>
        <v/>
      </c>
      <c r="E38" s="497" t="str">
        <f t="shared" si="2"/>
        <v/>
      </c>
      <c r="F38" s="48" t="str">
        <f t="shared" si="3"/>
        <v/>
      </c>
      <c r="G38" s="48">
        <f t="shared" si="24"/>
        <v>17</v>
      </c>
      <c r="H38" s="49" t="str">
        <f>IF(C38="","",IF(MOD(C38-2,7),"",INT((9+C38-MOD(C38-2,7)-DATE(YEAR(3+C38-MOD(C38-2,7)),1,))/7)))</f>
        <v/>
      </c>
      <c r="I38" s="50"/>
      <c r="J38" s="161" t="str">
        <f t="shared" si="4"/>
        <v>Me</v>
      </c>
      <c r="K38" s="162">
        <f>+K36+1</f>
        <v>44244</v>
      </c>
      <c r="L38" s="47" t="str">
        <f t="shared" si="5"/>
        <v/>
      </c>
      <c r="M38" s="497" t="str">
        <f t="shared" si="6"/>
        <v/>
      </c>
      <c r="N38" s="48" t="str">
        <f t="shared" si="7"/>
        <v/>
      </c>
      <c r="O38" s="48">
        <f t="shared" si="25"/>
        <v>48</v>
      </c>
      <c r="P38" s="49" t="str">
        <f>IF(K38="","",IF(MOD(K38-2,7),"",INT((9+K38-MOD(K38-2,7)-DATE(YEAR(3+K38-MOD(K38-2,7)),1,))/7)))</f>
        <v/>
      </c>
      <c r="Q38" s="50"/>
      <c r="R38" s="161" t="str">
        <f t="shared" si="8"/>
        <v>Me</v>
      </c>
      <c r="S38" s="162">
        <f>+S36+1</f>
        <v>44272</v>
      </c>
      <c r="T38" s="47" t="str">
        <f t="shared" si="9"/>
        <v/>
      </c>
      <c r="U38" s="497" t="str">
        <f t="shared" si="10"/>
        <v/>
      </c>
      <c r="V38" s="48" t="str">
        <f t="shared" si="11"/>
        <v/>
      </c>
      <c r="W38" s="48">
        <f t="shared" si="26"/>
        <v>76</v>
      </c>
      <c r="X38" s="49" t="str">
        <f>IF(S38="","",IF(MOD(S38-2,7),"",INT((9+S38-MOD(S38-2,7)-DATE(YEAR(3+S38-MOD(S38-2,7)),1,))/7)))</f>
        <v/>
      </c>
      <c r="Y38" s="50"/>
      <c r="Z38" s="161" t="str">
        <f t="shared" si="12"/>
        <v>Sa</v>
      </c>
      <c r="AA38" s="162">
        <f>+AA36+1</f>
        <v>44303</v>
      </c>
      <c r="AB38" s="47" t="str">
        <f t="shared" si="13"/>
        <v/>
      </c>
      <c r="AC38" s="497" t="str">
        <f t="shared" si="14"/>
        <v/>
      </c>
      <c r="AD38" s="48" t="str">
        <f t="shared" si="15"/>
        <v/>
      </c>
      <c r="AE38" s="48">
        <f t="shared" si="27"/>
        <v>107</v>
      </c>
      <c r="AF38" s="49" t="str">
        <f>IF(AA38="","",IF(MOD(AA38-2,7),"",INT((9+AA38-MOD(AA38-2,7)-DATE(YEAR(3+AA38-MOD(AA38-2,7)),1,))/7)))</f>
        <v/>
      </c>
      <c r="AG38" s="50"/>
      <c r="AH38" s="161" t="str">
        <f t="shared" si="16"/>
        <v>Lu</v>
      </c>
      <c r="AI38" s="162">
        <f>+AI36+1</f>
        <v>44333</v>
      </c>
      <c r="AJ38" s="47" t="str">
        <f t="shared" si="17"/>
        <v/>
      </c>
      <c r="AK38" s="497" t="str">
        <f t="shared" si="18"/>
        <v/>
      </c>
      <c r="AL38" s="48" t="str">
        <f t="shared" si="19"/>
        <v/>
      </c>
      <c r="AM38" s="48">
        <f t="shared" si="28"/>
        <v>137</v>
      </c>
      <c r="AN38" s="49">
        <f>IF(AI38="","",IF(MOD(AI38-2,7),"",INT((9+AI38-MOD(AI38-2,7)-DATE(YEAR(3+AI38-MOD(AI38-2,7)),1,))/7)))</f>
        <v>20</v>
      </c>
      <c r="AO38" s="50"/>
      <c r="AP38" s="161" t="str">
        <f t="shared" si="20"/>
        <v>Je</v>
      </c>
      <c r="AQ38" s="162">
        <f>+AQ36+1</f>
        <v>44364</v>
      </c>
      <c r="AR38" s="47" t="str">
        <f t="shared" si="21"/>
        <v/>
      </c>
      <c r="AS38" s="497" t="str">
        <f t="shared" si="22"/>
        <v/>
      </c>
      <c r="AT38" s="48" t="str">
        <f t="shared" si="23"/>
        <v/>
      </c>
      <c r="AU38" s="48">
        <f t="shared" si="29"/>
        <v>168</v>
      </c>
      <c r="AV38" s="49" t="str">
        <f t="shared" si="30"/>
        <v/>
      </c>
      <c r="AW38" s="403"/>
    </row>
    <row r="39" spans="1:49" s="3" customFormat="1" ht="4" customHeight="1" x14ac:dyDescent="0.15">
      <c r="A39" s="402"/>
      <c r="B39" s="161"/>
      <c r="C39" s="162"/>
      <c r="D39" s="47"/>
      <c r="E39" s="497"/>
      <c r="F39" s="48"/>
      <c r="G39" s="48" t="str">
        <f t="shared" si="24"/>
        <v/>
      </c>
      <c r="H39" s="49"/>
      <c r="I39" s="50"/>
      <c r="J39" s="161"/>
      <c r="K39" s="162"/>
      <c r="L39" s="47"/>
      <c r="M39" s="497"/>
      <c r="N39" s="48"/>
      <c r="O39" s="48" t="str">
        <f t="shared" si="25"/>
        <v/>
      </c>
      <c r="P39" s="49"/>
      <c r="Q39" s="50"/>
      <c r="R39" s="161"/>
      <c r="S39" s="162"/>
      <c r="T39" s="47"/>
      <c r="U39" s="497"/>
      <c r="V39" s="48"/>
      <c r="W39" s="48" t="str">
        <f t="shared" si="26"/>
        <v/>
      </c>
      <c r="X39" s="49"/>
      <c r="Y39" s="50"/>
      <c r="Z39" s="161"/>
      <c r="AA39" s="162"/>
      <c r="AB39" s="47"/>
      <c r="AC39" s="497"/>
      <c r="AD39" s="48"/>
      <c r="AE39" s="48" t="str">
        <f t="shared" si="27"/>
        <v/>
      </c>
      <c r="AF39" s="49"/>
      <c r="AG39" s="50"/>
      <c r="AH39" s="161"/>
      <c r="AI39" s="162"/>
      <c r="AJ39" s="47"/>
      <c r="AK39" s="497"/>
      <c r="AL39" s="48"/>
      <c r="AM39" s="48" t="str">
        <f t="shared" si="28"/>
        <v/>
      </c>
      <c r="AN39" s="49"/>
      <c r="AO39" s="50"/>
      <c r="AP39" s="161"/>
      <c r="AQ39" s="162"/>
      <c r="AR39" s="47"/>
      <c r="AS39" s="497"/>
      <c r="AT39" s="48"/>
      <c r="AU39" s="48" t="str">
        <f t="shared" si="29"/>
        <v/>
      </c>
      <c r="AV39" s="49"/>
      <c r="AW39" s="403"/>
    </row>
    <row r="40" spans="1:49" s="3" customFormat="1" ht="18" customHeight="1" x14ac:dyDescent="0.15">
      <c r="A40" s="402"/>
      <c r="B40" s="161" t="str">
        <f t="shared" si="0"/>
        <v>Lu</v>
      </c>
      <c r="C40" s="162">
        <f>+C38+1</f>
        <v>44214</v>
      </c>
      <c r="D40" s="47" t="str">
        <f t="shared" si="1"/>
        <v/>
      </c>
      <c r="E40" s="497" t="str">
        <f t="shared" si="2"/>
        <v/>
      </c>
      <c r="F40" s="48" t="str">
        <f t="shared" si="3"/>
        <v/>
      </c>
      <c r="G40" s="48">
        <f t="shared" si="24"/>
        <v>18</v>
      </c>
      <c r="H40" s="49">
        <f>IF(C40="","",IF(MOD(C40-2,7),"",INT((9+C40-MOD(C40-2,7)-DATE(YEAR(3+C40-MOD(C40-2,7)),1,))/7)))</f>
        <v>3</v>
      </c>
      <c r="I40" s="50"/>
      <c r="J40" s="161" t="str">
        <f t="shared" si="4"/>
        <v>Je</v>
      </c>
      <c r="K40" s="162">
        <f>+K38+1</f>
        <v>44245</v>
      </c>
      <c r="L40" s="47" t="str">
        <f t="shared" si="5"/>
        <v/>
      </c>
      <c r="M40" s="497" t="str">
        <f t="shared" si="6"/>
        <v/>
      </c>
      <c r="N40" s="48" t="str">
        <f t="shared" si="7"/>
        <v/>
      </c>
      <c r="O40" s="48">
        <f t="shared" si="25"/>
        <v>49</v>
      </c>
      <c r="P40" s="49" t="str">
        <f>IF(K40="","",IF(MOD(K40-2,7),"",INT((9+K40-MOD(K40-2,7)-DATE(YEAR(3+K40-MOD(K40-2,7)),1,))/7)))</f>
        <v/>
      </c>
      <c r="Q40" s="50"/>
      <c r="R40" s="161" t="str">
        <f t="shared" si="8"/>
        <v>Je</v>
      </c>
      <c r="S40" s="162">
        <f>+S38+1</f>
        <v>44273</v>
      </c>
      <c r="T40" s="47" t="str">
        <f t="shared" si="9"/>
        <v/>
      </c>
      <c r="U40" s="497" t="str">
        <f t="shared" si="10"/>
        <v/>
      </c>
      <c r="V40" s="48" t="str">
        <f t="shared" si="11"/>
        <v/>
      </c>
      <c r="W40" s="48">
        <f t="shared" si="26"/>
        <v>77</v>
      </c>
      <c r="X40" s="49" t="str">
        <f>IF(S40="","",IF(MOD(S40-2,7),"",INT((9+S40-MOD(S40-2,7)-DATE(YEAR(3+S40-MOD(S40-2,7)),1,))/7)))</f>
        <v/>
      </c>
      <c r="Y40" s="50"/>
      <c r="Z40" s="161" t="str">
        <f t="shared" si="12"/>
        <v>Di</v>
      </c>
      <c r="AA40" s="162">
        <f>+AA38+1</f>
        <v>44304</v>
      </c>
      <c r="AB40" s="47" t="str">
        <f t="shared" si="13"/>
        <v/>
      </c>
      <c r="AC40" s="497" t="str">
        <f t="shared" si="14"/>
        <v/>
      </c>
      <c r="AD40" s="48" t="str">
        <f t="shared" si="15"/>
        <v/>
      </c>
      <c r="AE40" s="48">
        <f t="shared" si="27"/>
        <v>108</v>
      </c>
      <c r="AF40" s="49" t="str">
        <f>IF(AA40="","",IF(MOD(AA40-2,7),"",INT((9+AA40-MOD(AA40-2,7)-DATE(YEAR(3+AA40-MOD(AA40-2,7)),1,))/7)))</f>
        <v/>
      </c>
      <c r="AG40" s="50"/>
      <c r="AH40" s="161" t="str">
        <f t="shared" si="16"/>
        <v>Ma</v>
      </c>
      <c r="AI40" s="162">
        <f>+AI38+1</f>
        <v>44334</v>
      </c>
      <c r="AJ40" s="47" t="str">
        <f t="shared" si="17"/>
        <v/>
      </c>
      <c r="AK40" s="497" t="str">
        <f t="shared" si="18"/>
        <v/>
      </c>
      <c r="AL40" s="48" t="str">
        <f t="shared" si="19"/>
        <v/>
      </c>
      <c r="AM40" s="48">
        <f t="shared" si="28"/>
        <v>138</v>
      </c>
      <c r="AN40" s="49" t="str">
        <f>IF(AI40="","",IF(MOD(AI40-2,7),"",INT((9+AI40-MOD(AI40-2,7)-DATE(YEAR(3+AI40-MOD(AI40-2,7)),1,))/7)))</f>
        <v/>
      </c>
      <c r="AO40" s="50"/>
      <c r="AP40" s="161" t="str">
        <f t="shared" si="20"/>
        <v>Ve</v>
      </c>
      <c r="AQ40" s="162">
        <f>+AQ38+1</f>
        <v>44365</v>
      </c>
      <c r="AR40" s="47" t="str">
        <f t="shared" si="21"/>
        <v/>
      </c>
      <c r="AS40" s="497" t="str">
        <f t="shared" si="22"/>
        <v>🌓</v>
      </c>
      <c r="AT40" s="48" t="str">
        <f t="shared" si="23"/>
        <v/>
      </c>
      <c r="AU40" s="48">
        <f t="shared" si="29"/>
        <v>169</v>
      </c>
      <c r="AV40" s="49" t="str">
        <f t="shared" si="30"/>
        <v/>
      </c>
      <c r="AW40" s="403"/>
    </row>
    <row r="41" spans="1:49" s="3" customFormat="1" ht="4" customHeight="1" x14ac:dyDescent="0.15">
      <c r="A41" s="402"/>
      <c r="B41" s="161"/>
      <c r="C41" s="162"/>
      <c r="D41" s="47"/>
      <c r="E41" s="497"/>
      <c r="F41" s="48"/>
      <c r="G41" s="48" t="str">
        <f t="shared" si="24"/>
        <v/>
      </c>
      <c r="H41" s="49"/>
      <c r="I41" s="50"/>
      <c r="J41" s="161"/>
      <c r="K41" s="162"/>
      <c r="L41" s="47"/>
      <c r="M41" s="497"/>
      <c r="N41" s="48"/>
      <c r="O41" s="48" t="str">
        <f t="shared" si="25"/>
        <v/>
      </c>
      <c r="P41" s="49"/>
      <c r="Q41" s="50"/>
      <c r="R41" s="161"/>
      <c r="S41" s="162"/>
      <c r="T41" s="47"/>
      <c r="U41" s="497"/>
      <c r="V41" s="48"/>
      <c r="W41" s="48" t="str">
        <f t="shared" si="26"/>
        <v/>
      </c>
      <c r="X41" s="49"/>
      <c r="Y41" s="50"/>
      <c r="Z41" s="161"/>
      <c r="AA41" s="162"/>
      <c r="AB41" s="47"/>
      <c r="AC41" s="497"/>
      <c r="AD41" s="48"/>
      <c r="AE41" s="48" t="str">
        <f t="shared" si="27"/>
        <v/>
      </c>
      <c r="AF41" s="49"/>
      <c r="AG41" s="50"/>
      <c r="AH41" s="161"/>
      <c r="AI41" s="162"/>
      <c r="AJ41" s="47"/>
      <c r="AK41" s="497"/>
      <c r="AL41" s="48"/>
      <c r="AM41" s="48" t="str">
        <f t="shared" si="28"/>
        <v/>
      </c>
      <c r="AN41" s="49"/>
      <c r="AO41" s="50"/>
      <c r="AP41" s="161"/>
      <c r="AQ41" s="162"/>
      <c r="AR41" s="47"/>
      <c r="AS41" s="497"/>
      <c r="AT41" s="48"/>
      <c r="AU41" s="48" t="str">
        <f t="shared" si="29"/>
        <v/>
      </c>
      <c r="AV41" s="49"/>
      <c r="AW41" s="403"/>
    </row>
    <row r="42" spans="1:49" s="3" customFormat="1" ht="18" customHeight="1" x14ac:dyDescent="0.15">
      <c r="A42" s="402"/>
      <c r="B42" s="161" t="str">
        <f t="shared" si="0"/>
        <v>Ma</v>
      </c>
      <c r="C42" s="162">
        <f>+C40+1</f>
        <v>44215</v>
      </c>
      <c r="D42" s="47" t="str">
        <f t="shared" si="1"/>
        <v/>
      </c>
      <c r="E42" s="497" t="str">
        <f t="shared" si="2"/>
        <v/>
      </c>
      <c r="F42" s="48" t="str">
        <f t="shared" si="3"/>
        <v/>
      </c>
      <c r="G42" s="48">
        <f t="shared" si="24"/>
        <v>19</v>
      </c>
      <c r="H42" s="49" t="str">
        <f>IF(C42="","",IF(MOD(C42-2,7),"",INT((9+C42-MOD(C42-2,7)-DATE(YEAR(3+C42-MOD(C42-2,7)),1,))/7)))</f>
        <v/>
      </c>
      <c r="I42" s="50"/>
      <c r="J42" s="161" t="str">
        <f t="shared" si="4"/>
        <v>Ve</v>
      </c>
      <c r="K42" s="162">
        <f>+K40+1</f>
        <v>44246</v>
      </c>
      <c r="L42" s="47" t="str">
        <f t="shared" si="5"/>
        <v/>
      </c>
      <c r="M42" s="497" t="str">
        <f t="shared" si="6"/>
        <v>🌓</v>
      </c>
      <c r="N42" s="48" t="str">
        <f t="shared" si="7"/>
        <v/>
      </c>
      <c r="O42" s="48">
        <f t="shared" si="25"/>
        <v>50</v>
      </c>
      <c r="P42" s="49" t="str">
        <f>IF(K42="","",IF(MOD(K42-2,7),"",INT((9+K42-MOD(K42-2,7)-DATE(YEAR(3+K42-MOD(K42-2,7)),1,))/7)))</f>
        <v/>
      </c>
      <c r="Q42" s="50"/>
      <c r="R42" s="161" t="str">
        <f t="shared" si="8"/>
        <v>Ve</v>
      </c>
      <c r="S42" s="162">
        <f>+S40+1</f>
        <v>44274</v>
      </c>
      <c r="T42" s="47" t="str">
        <f t="shared" si="9"/>
        <v/>
      </c>
      <c r="U42" s="497" t="str">
        <f t="shared" si="10"/>
        <v/>
      </c>
      <c r="V42" s="48" t="str">
        <f t="shared" si="11"/>
        <v/>
      </c>
      <c r="W42" s="48">
        <f t="shared" si="26"/>
        <v>78</v>
      </c>
      <c r="X42" s="49" t="str">
        <f>IF(S42="","",IF(MOD(S42-2,7),"",INT((9+S42-MOD(S42-2,7)-DATE(YEAR(3+S42-MOD(S42-2,7)),1,))/7)))</f>
        <v/>
      </c>
      <c r="Y42" s="50"/>
      <c r="Z42" s="161" t="str">
        <f t="shared" si="12"/>
        <v>Lu</v>
      </c>
      <c r="AA42" s="162">
        <f>+AA40+1</f>
        <v>44305</v>
      </c>
      <c r="AB42" s="47" t="str">
        <f t="shared" si="13"/>
        <v/>
      </c>
      <c r="AC42" s="497" t="str">
        <f t="shared" si="14"/>
        <v/>
      </c>
      <c r="AD42" s="48" t="str">
        <f t="shared" si="15"/>
        <v/>
      </c>
      <c r="AE42" s="48">
        <f t="shared" si="27"/>
        <v>109</v>
      </c>
      <c r="AF42" s="49">
        <f>IF(AA42="","",IF(MOD(AA42-2,7),"",INT((9+AA42-MOD(AA42-2,7)-DATE(YEAR(3+AA42-MOD(AA42-2,7)),1,))/7)))</f>
        <v>16</v>
      </c>
      <c r="AG42" s="50"/>
      <c r="AH42" s="161" t="str">
        <f t="shared" si="16"/>
        <v>Me</v>
      </c>
      <c r="AI42" s="162">
        <f>+AI40+1</f>
        <v>44335</v>
      </c>
      <c r="AJ42" s="47" t="str">
        <f t="shared" si="17"/>
        <v/>
      </c>
      <c r="AK42" s="497" t="str">
        <f t="shared" si="18"/>
        <v>🌓</v>
      </c>
      <c r="AL42" s="48" t="str">
        <f t="shared" si="19"/>
        <v/>
      </c>
      <c r="AM42" s="48">
        <f t="shared" si="28"/>
        <v>139</v>
      </c>
      <c r="AN42" s="49" t="str">
        <f>IF(AI42="","",IF(MOD(AI42-2,7),"",INT((9+AI42-MOD(AI42-2,7)-DATE(YEAR(3+AI42-MOD(AI42-2,7)),1,))/7)))</f>
        <v/>
      </c>
      <c r="AO42" s="50"/>
      <c r="AP42" s="161" t="str">
        <f t="shared" si="20"/>
        <v>Sa</v>
      </c>
      <c r="AQ42" s="162">
        <f>+AQ40+1</f>
        <v>44366</v>
      </c>
      <c r="AR42" s="47" t="str">
        <f t="shared" si="21"/>
        <v/>
      </c>
      <c r="AS42" s="497" t="str">
        <f t="shared" si="22"/>
        <v/>
      </c>
      <c r="AT42" s="48" t="str">
        <f t="shared" si="23"/>
        <v/>
      </c>
      <c r="AU42" s="48">
        <f t="shared" si="29"/>
        <v>170</v>
      </c>
      <c r="AV42" s="49" t="str">
        <f t="shared" si="30"/>
        <v/>
      </c>
      <c r="AW42" s="403"/>
    </row>
    <row r="43" spans="1:49" s="3" customFormat="1" ht="4" customHeight="1" x14ac:dyDescent="0.15">
      <c r="A43" s="402"/>
      <c r="B43" s="161"/>
      <c r="C43" s="162"/>
      <c r="D43" s="47"/>
      <c r="E43" s="497"/>
      <c r="F43" s="48"/>
      <c r="G43" s="48" t="str">
        <f t="shared" si="24"/>
        <v/>
      </c>
      <c r="H43" s="49"/>
      <c r="I43" s="50"/>
      <c r="J43" s="161"/>
      <c r="K43" s="162"/>
      <c r="L43" s="47"/>
      <c r="M43" s="497"/>
      <c r="N43" s="48"/>
      <c r="O43" s="48" t="str">
        <f t="shared" si="25"/>
        <v/>
      </c>
      <c r="P43" s="49"/>
      <c r="Q43" s="50"/>
      <c r="R43" s="161"/>
      <c r="S43" s="162"/>
      <c r="T43" s="47"/>
      <c r="U43" s="497"/>
      <c r="V43" s="48"/>
      <c r="W43" s="48" t="str">
        <f t="shared" si="26"/>
        <v/>
      </c>
      <c r="X43" s="49"/>
      <c r="Y43" s="50"/>
      <c r="Z43" s="161"/>
      <c r="AA43" s="162"/>
      <c r="AB43" s="47"/>
      <c r="AC43" s="497"/>
      <c r="AD43" s="48"/>
      <c r="AE43" s="48" t="str">
        <f t="shared" si="27"/>
        <v/>
      </c>
      <c r="AF43" s="49"/>
      <c r="AG43" s="50"/>
      <c r="AH43" s="161"/>
      <c r="AI43" s="162"/>
      <c r="AJ43" s="47"/>
      <c r="AK43" s="497"/>
      <c r="AL43" s="48"/>
      <c r="AM43" s="48" t="str">
        <f t="shared" si="28"/>
        <v/>
      </c>
      <c r="AN43" s="49"/>
      <c r="AO43" s="50"/>
      <c r="AP43" s="161"/>
      <c r="AQ43" s="162"/>
      <c r="AR43" s="47"/>
      <c r="AS43" s="497"/>
      <c r="AT43" s="48"/>
      <c r="AU43" s="48" t="str">
        <f t="shared" si="29"/>
        <v/>
      </c>
      <c r="AV43" s="49"/>
      <c r="AW43" s="403"/>
    </row>
    <row r="44" spans="1:49" s="3" customFormat="1" ht="18" customHeight="1" x14ac:dyDescent="0.15">
      <c r="A44" s="402"/>
      <c r="B44" s="161" t="str">
        <f t="shared" si="0"/>
        <v>Me</v>
      </c>
      <c r="C44" s="162">
        <f>+C42+1</f>
        <v>44216</v>
      </c>
      <c r="D44" s="47" t="str">
        <f t="shared" si="1"/>
        <v/>
      </c>
      <c r="E44" s="497" t="str">
        <f t="shared" si="2"/>
        <v>🌓</v>
      </c>
      <c r="F44" s="48" t="str">
        <f t="shared" si="3"/>
        <v/>
      </c>
      <c r="G44" s="48">
        <f t="shared" si="24"/>
        <v>20</v>
      </c>
      <c r="H44" s="49" t="str">
        <f>IF(C44="","",IF(MOD(C44-2,7),"",INT((9+C44-MOD(C44-2,7)-DATE(YEAR(3+C44-MOD(C44-2,7)),1,))/7)))</f>
        <v/>
      </c>
      <c r="I44" s="50"/>
      <c r="J44" s="161" t="str">
        <f t="shared" si="4"/>
        <v>Sa</v>
      </c>
      <c r="K44" s="162">
        <f>+K42+1</f>
        <v>44247</v>
      </c>
      <c r="L44" s="47" t="str">
        <f t="shared" si="5"/>
        <v/>
      </c>
      <c r="M44" s="497" t="str">
        <f t="shared" si="6"/>
        <v/>
      </c>
      <c r="N44" s="48" t="str">
        <f t="shared" si="7"/>
        <v/>
      </c>
      <c r="O44" s="48">
        <f t="shared" si="25"/>
        <v>51</v>
      </c>
      <c r="P44" s="49" t="str">
        <f>IF(K44="","",IF(MOD(K44-2,7),"",INT((9+K44-MOD(K44-2,7)-DATE(YEAR(3+K44-MOD(K44-2,7)),1,))/7)))</f>
        <v/>
      </c>
      <c r="Q44" s="50"/>
      <c r="R44" s="161" t="str">
        <f t="shared" si="8"/>
        <v>Sa</v>
      </c>
      <c r="S44" s="162">
        <f>+S42+1</f>
        <v>44275</v>
      </c>
      <c r="T44" s="47" t="str">
        <f t="shared" si="9"/>
        <v xml:space="preserve"> </v>
      </c>
      <c r="U44" s="497" t="str">
        <f t="shared" si="10"/>
        <v/>
      </c>
      <c r="V44" s="48" t="str">
        <f t="shared" si="11"/>
        <v>📅 Printemps</v>
      </c>
      <c r="W44" s="48">
        <f t="shared" si="26"/>
        <v>79</v>
      </c>
      <c r="X44" s="49" t="str">
        <f>IF(S44="","",IF(MOD(S44-2,7),"",INT((9+S44-MOD(S44-2,7)-DATE(YEAR(3+S44-MOD(S44-2,7)),1,))/7)))</f>
        <v/>
      </c>
      <c r="Y44" s="50"/>
      <c r="Z44" s="161" t="str">
        <f t="shared" si="12"/>
        <v>Ma</v>
      </c>
      <c r="AA44" s="162">
        <f>+AA42+1</f>
        <v>44306</v>
      </c>
      <c r="AB44" s="47" t="str">
        <f t="shared" si="13"/>
        <v/>
      </c>
      <c r="AC44" s="497" t="str">
        <f t="shared" si="14"/>
        <v>🌓</v>
      </c>
      <c r="AD44" s="48" t="str">
        <f t="shared" si="15"/>
        <v/>
      </c>
      <c r="AE44" s="48">
        <f t="shared" si="27"/>
        <v>110</v>
      </c>
      <c r="AF44" s="49" t="str">
        <f>IF(AA44="","",IF(MOD(AA44-2,7),"",INT((9+AA44-MOD(AA44-2,7)-DATE(YEAR(3+AA44-MOD(AA44-2,7)),1,))/7)))</f>
        <v/>
      </c>
      <c r="AG44" s="50"/>
      <c r="AH44" s="161" t="str">
        <f t="shared" si="16"/>
        <v>Je</v>
      </c>
      <c r="AI44" s="162">
        <f>+AI42+1</f>
        <v>44336</v>
      </c>
      <c r="AJ44" s="47" t="str">
        <f t="shared" si="17"/>
        <v/>
      </c>
      <c r="AK44" s="497" t="str">
        <f t="shared" si="18"/>
        <v/>
      </c>
      <c r="AL44" s="48" t="str">
        <f t="shared" si="19"/>
        <v/>
      </c>
      <c r="AM44" s="48">
        <f t="shared" si="28"/>
        <v>140</v>
      </c>
      <c r="AN44" s="49" t="str">
        <f>IF(AI44="","",IF(MOD(AI44-2,7),"",INT((9+AI44-MOD(AI44-2,7)-DATE(YEAR(3+AI44-MOD(AI44-2,7)),1,))/7)))</f>
        <v/>
      </c>
      <c r="AO44" s="50"/>
      <c r="AP44" s="161" t="str">
        <f t="shared" si="20"/>
        <v>Di</v>
      </c>
      <c r="AQ44" s="162">
        <f>+AQ42+1</f>
        <v>44367</v>
      </c>
      <c r="AR44" s="47" t="str">
        <f t="shared" si="21"/>
        <v/>
      </c>
      <c r="AS44" s="497" t="str">
        <f t="shared" si="22"/>
        <v/>
      </c>
      <c r="AT44" s="48" t="str">
        <f t="shared" si="23"/>
        <v/>
      </c>
      <c r="AU44" s="48">
        <f t="shared" si="29"/>
        <v>171</v>
      </c>
      <c r="AV44" s="49" t="str">
        <f t="shared" si="30"/>
        <v/>
      </c>
      <c r="AW44" s="403"/>
    </row>
    <row r="45" spans="1:49" s="3" customFormat="1" ht="4" customHeight="1" x14ac:dyDescent="0.15">
      <c r="A45" s="402"/>
      <c r="B45" s="161"/>
      <c r="C45" s="162"/>
      <c r="D45" s="47"/>
      <c r="E45" s="497"/>
      <c r="F45" s="48"/>
      <c r="G45" s="48" t="str">
        <f t="shared" si="24"/>
        <v/>
      </c>
      <c r="H45" s="49"/>
      <c r="I45" s="50"/>
      <c r="J45" s="161"/>
      <c r="K45" s="162"/>
      <c r="L45" s="47"/>
      <c r="M45" s="497"/>
      <c r="N45" s="48"/>
      <c r="O45" s="48" t="str">
        <f t="shared" si="25"/>
        <v/>
      </c>
      <c r="P45" s="49"/>
      <c r="Q45" s="50"/>
      <c r="R45" s="161"/>
      <c r="S45" s="162"/>
      <c r="T45" s="47"/>
      <c r="U45" s="497"/>
      <c r="V45" s="48"/>
      <c r="W45" s="48" t="str">
        <f t="shared" si="26"/>
        <v/>
      </c>
      <c r="X45" s="49"/>
      <c r="Y45" s="50"/>
      <c r="Z45" s="161"/>
      <c r="AA45" s="162"/>
      <c r="AB45" s="47"/>
      <c r="AC45" s="497"/>
      <c r="AD45" s="48"/>
      <c r="AE45" s="48" t="str">
        <f t="shared" si="27"/>
        <v/>
      </c>
      <c r="AF45" s="49"/>
      <c r="AG45" s="50"/>
      <c r="AH45" s="161"/>
      <c r="AI45" s="162"/>
      <c r="AJ45" s="47"/>
      <c r="AK45" s="497"/>
      <c r="AL45" s="48"/>
      <c r="AM45" s="48" t="str">
        <f t="shared" si="28"/>
        <v/>
      </c>
      <c r="AN45" s="49"/>
      <c r="AO45" s="50"/>
      <c r="AP45" s="161"/>
      <c r="AQ45" s="162"/>
      <c r="AR45" s="47"/>
      <c r="AS45" s="497"/>
      <c r="AT45" s="48"/>
      <c r="AU45" s="48" t="str">
        <f t="shared" si="29"/>
        <v/>
      </c>
      <c r="AV45" s="49"/>
      <c r="AW45" s="403"/>
    </row>
    <row r="46" spans="1:49" s="3" customFormat="1" ht="18" customHeight="1" x14ac:dyDescent="0.15">
      <c r="A46" s="402"/>
      <c r="B46" s="161" t="str">
        <f t="shared" si="0"/>
        <v>Je</v>
      </c>
      <c r="C46" s="162">
        <f>+C44+1</f>
        <v>44217</v>
      </c>
      <c r="D46" s="47" t="str">
        <f t="shared" si="1"/>
        <v/>
      </c>
      <c r="E46" s="497" t="str">
        <f t="shared" si="2"/>
        <v/>
      </c>
      <c r="F46" s="48" t="str">
        <f t="shared" si="3"/>
        <v/>
      </c>
      <c r="G46" s="48">
        <f t="shared" si="24"/>
        <v>21</v>
      </c>
      <c r="H46" s="49" t="str">
        <f>IF(C46="","",IF(MOD(C46-2,7),"",INT((9+C46-MOD(C46-2,7)-DATE(YEAR(3+C46-MOD(C46-2,7)),1,))/7)))</f>
        <v/>
      </c>
      <c r="I46" s="50"/>
      <c r="J46" s="161" t="str">
        <f t="shared" si="4"/>
        <v>Di</v>
      </c>
      <c r="K46" s="162">
        <f>+K44+1</f>
        <v>44248</v>
      </c>
      <c r="L46" s="47" t="str">
        <f t="shared" si="5"/>
        <v/>
      </c>
      <c r="M46" s="497" t="str">
        <f t="shared" si="6"/>
        <v/>
      </c>
      <c r="N46" s="48" t="str">
        <f t="shared" si="7"/>
        <v/>
      </c>
      <c r="O46" s="48">
        <f t="shared" si="25"/>
        <v>52</v>
      </c>
      <c r="P46" s="49" t="str">
        <f>IF(K46="","",IF(MOD(K46-2,7),"",INT((9+K46-MOD(K46-2,7)-DATE(YEAR(3+K46-MOD(K46-2,7)),1,))/7)))</f>
        <v/>
      </c>
      <c r="Q46" s="50"/>
      <c r="R46" s="161" t="str">
        <f t="shared" si="8"/>
        <v>Di</v>
      </c>
      <c r="S46" s="162">
        <f>+S44+1</f>
        <v>44276</v>
      </c>
      <c r="T46" s="47" t="str">
        <f t="shared" si="9"/>
        <v/>
      </c>
      <c r="U46" s="497" t="str">
        <f t="shared" si="10"/>
        <v>🌓</v>
      </c>
      <c r="V46" s="48" t="str">
        <f t="shared" si="11"/>
        <v/>
      </c>
      <c r="W46" s="48">
        <f t="shared" si="26"/>
        <v>80</v>
      </c>
      <c r="X46" s="49" t="str">
        <f>IF(S46="","",IF(MOD(S46-2,7),"",INT((9+S46-MOD(S46-2,7)-DATE(YEAR(3+S46-MOD(S46-2,7)),1,))/7)))</f>
        <v/>
      </c>
      <c r="Y46" s="50"/>
      <c r="Z46" s="161" t="str">
        <f t="shared" si="12"/>
        <v>Me</v>
      </c>
      <c r="AA46" s="162">
        <f>+AA44+1</f>
        <v>44307</v>
      </c>
      <c r="AB46" s="47" t="str">
        <f t="shared" si="13"/>
        <v/>
      </c>
      <c r="AC46" s="497" t="str">
        <f t="shared" si="14"/>
        <v/>
      </c>
      <c r="AD46" s="48" t="str">
        <f t="shared" si="15"/>
        <v/>
      </c>
      <c r="AE46" s="48">
        <f t="shared" si="27"/>
        <v>111</v>
      </c>
      <c r="AF46" s="49" t="str">
        <f>IF(AA46="","",IF(MOD(AA46-2,7),"",INT((9+AA46-MOD(AA46-2,7)-DATE(YEAR(3+AA46-MOD(AA46-2,7)),1,))/7)))</f>
        <v/>
      </c>
      <c r="AG46" s="50"/>
      <c r="AH46" s="161" t="str">
        <f t="shared" si="16"/>
        <v>Ve</v>
      </c>
      <c r="AI46" s="162">
        <f>+AI44+1</f>
        <v>44337</v>
      </c>
      <c r="AJ46" s="47" t="str">
        <f t="shared" si="17"/>
        <v/>
      </c>
      <c r="AK46" s="497" t="str">
        <f t="shared" si="18"/>
        <v/>
      </c>
      <c r="AL46" s="48" t="str">
        <f t="shared" si="19"/>
        <v/>
      </c>
      <c r="AM46" s="48">
        <f t="shared" si="28"/>
        <v>141</v>
      </c>
      <c r="AN46" s="49" t="str">
        <f>IF(AI46="","",IF(MOD(AI46-2,7),"",INT((9+AI46-MOD(AI46-2,7)-DATE(YEAR(3+AI46-MOD(AI46-2,7)),1,))/7)))</f>
        <v/>
      </c>
      <c r="AO46" s="50"/>
      <c r="AP46" s="161" t="str">
        <f t="shared" si="20"/>
        <v>Lu</v>
      </c>
      <c r="AQ46" s="162">
        <f>+AQ44+1</f>
        <v>44368</v>
      </c>
      <c r="AR46" s="47" t="str">
        <f t="shared" si="21"/>
        <v/>
      </c>
      <c r="AS46" s="497" t="str">
        <f t="shared" si="22"/>
        <v/>
      </c>
      <c r="AT46" s="48" t="str">
        <f t="shared" si="23"/>
        <v>📅 Été</v>
      </c>
      <c r="AU46" s="48">
        <f t="shared" si="29"/>
        <v>172</v>
      </c>
      <c r="AV46" s="49">
        <f t="shared" si="30"/>
        <v>25</v>
      </c>
      <c r="AW46" s="403"/>
    </row>
    <row r="47" spans="1:49" s="3" customFormat="1" ht="4" customHeight="1" x14ac:dyDescent="0.15">
      <c r="A47" s="402"/>
      <c r="B47" s="161"/>
      <c r="C47" s="162"/>
      <c r="D47" s="47"/>
      <c r="E47" s="497"/>
      <c r="F47" s="48"/>
      <c r="G47" s="48" t="str">
        <f t="shared" si="24"/>
        <v/>
      </c>
      <c r="H47" s="49"/>
      <c r="I47" s="50"/>
      <c r="J47" s="161"/>
      <c r="K47" s="162"/>
      <c r="L47" s="47"/>
      <c r="M47" s="497"/>
      <c r="N47" s="48"/>
      <c r="O47" s="48" t="str">
        <f t="shared" si="25"/>
        <v/>
      </c>
      <c r="P47" s="49"/>
      <c r="Q47" s="50"/>
      <c r="R47" s="161"/>
      <c r="S47" s="162"/>
      <c r="T47" s="47"/>
      <c r="U47" s="497"/>
      <c r="V47" s="48"/>
      <c r="W47" s="48" t="str">
        <f t="shared" si="26"/>
        <v/>
      </c>
      <c r="X47" s="49"/>
      <c r="Y47" s="50"/>
      <c r="Z47" s="161"/>
      <c r="AA47" s="162"/>
      <c r="AB47" s="47"/>
      <c r="AC47" s="497"/>
      <c r="AD47" s="48"/>
      <c r="AE47" s="48" t="str">
        <f t="shared" si="27"/>
        <v/>
      </c>
      <c r="AF47" s="49"/>
      <c r="AG47" s="50"/>
      <c r="AH47" s="161"/>
      <c r="AI47" s="162"/>
      <c r="AJ47" s="47"/>
      <c r="AK47" s="497"/>
      <c r="AL47" s="48"/>
      <c r="AM47" s="48" t="str">
        <f t="shared" si="28"/>
        <v/>
      </c>
      <c r="AN47" s="49"/>
      <c r="AO47" s="50"/>
      <c r="AP47" s="161"/>
      <c r="AQ47" s="162"/>
      <c r="AR47" s="47"/>
      <c r="AS47" s="497"/>
      <c r="AT47" s="48"/>
      <c r="AU47" s="48" t="str">
        <f t="shared" si="29"/>
        <v/>
      </c>
      <c r="AV47" s="49"/>
      <c r="AW47" s="403"/>
    </row>
    <row r="48" spans="1:49" s="3" customFormat="1" ht="18" customHeight="1" x14ac:dyDescent="0.15">
      <c r="A48" s="402"/>
      <c r="B48" s="161" t="str">
        <f t="shared" si="0"/>
        <v>Ve</v>
      </c>
      <c r="C48" s="162">
        <f>+C46+1</f>
        <v>44218</v>
      </c>
      <c r="D48" s="47" t="str">
        <f t="shared" si="1"/>
        <v/>
      </c>
      <c r="E48" s="497" t="str">
        <f t="shared" si="2"/>
        <v/>
      </c>
      <c r="F48" s="48" t="str">
        <f t="shared" si="3"/>
        <v/>
      </c>
      <c r="G48" s="48">
        <f t="shared" si="24"/>
        <v>22</v>
      </c>
      <c r="H48" s="49" t="str">
        <f>IF(C48="","",IF(MOD(C48-2,7),"",INT((9+C48-MOD(C48-2,7)-DATE(YEAR(3+C48-MOD(C48-2,7)),1,))/7)))</f>
        <v/>
      </c>
      <c r="I48" s="50"/>
      <c r="J48" s="161" t="str">
        <f t="shared" si="4"/>
        <v>Lu</v>
      </c>
      <c r="K48" s="162">
        <f>+K46+1</f>
        <v>44249</v>
      </c>
      <c r="L48" s="47" t="str">
        <f t="shared" si="5"/>
        <v/>
      </c>
      <c r="M48" s="497" t="str">
        <f t="shared" si="6"/>
        <v/>
      </c>
      <c r="N48" s="48" t="str">
        <f t="shared" si="7"/>
        <v/>
      </c>
      <c r="O48" s="48">
        <f t="shared" si="25"/>
        <v>53</v>
      </c>
      <c r="P48" s="49">
        <f>IF(K48="","",IF(MOD(K48-2,7),"",INT((9+K48-MOD(K48-2,7)-DATE(YEAR(3+K48-MOD(K48-2,7)),1,))/7)))</f>
        <v>8</v>
      </c>
      <c r="Q48" s="50"/>
      <c r="R48" s="161" t="str">
        <f t="shared" si="8"/>
        <v>Lu</v>
      </c>
      <c r="S48" s="162">
        <f>+S46+1</f>
        <v>44277</v>
      </c>
      <c r="T48" s="47" t="str">
        <f t="shared" si="9"/>
        <v/>
      </c>
      <c r="U48" s="497" t="str">
        <f t="shared" si="10"/>
        <v/>
      </c>
      <c r="V48" s="48" t="str">
        <f t="shared" si="11"/>
        <v/>
      </c>
      <c r="W48" s="48">
        <f t="shared" si="26"/>
        <v>81</v>
      </c>
      <c r="X48" s="49">
        <f>IF(S48="","",IF(MOD(S48-2,7),"",INT((9+S48-MOD(S48-2,7)-DATE(YEAR(3+S48-MOD(S48-2,7)),1,))/7)))</f>
        <v>12</v>
      </c>
      <c r="Y48" s="50"/>
      <c r="Z48" s="161" t="str">
        <f t="shared" si="12"/>
        <v>Je</v>
      </c>
      <c r="AA48" s="162">
        <f>+AA46+1</f>
        <v>44308</v>
      </c>
      <c r="AB48" s="47" t="str">
        <f t="shared" si="13"/>
        <v/>
      </c>
      <c r="AC48" s="497" t="str">
        <f t="shared" si="14"/>
        <v/>
      </c>
      <c r="AD48" s="48" t="str">
        <f t="shared" si="15"/>
        <v/>
      </c>
      <c r="AE48" s="48">
        <f t="shared" si="27"/>
        <v>112</v>
      </c>
      <c r="AF48" s="49" t="str">
        <f>IF(AA48="","",IF(MOD(AA48-2,7),"",INT((9+AA48-MOD(AA48-2,7)-DATE(YEAR(3+AA48-MOD(AA48-2,7)),1,))/7)))</f>
        <v/>
      </c>
      <c r="AG48" s="50"/>
      <c r="AH48" s="161" t="str">
        <f t="shared" si="16"/>
        <v>Sa</v>
      </c>
      <c r="AI48" s="162">
        <f>+AI46+1</f>
        <v>44338</v>
      </c>
      <c r="AJ48" s="47" t="str">
        <f t="shared" si="17"/>
        <v/>
      </c>
      <c r="AK48" s="497" t="str">
        <f t="shared" si="18"/>
        <v/>
      </c>
      <c r="AL48" s="48" t="str">
        <f t="shared" si="19"/>
        <v/>
      </c>
      <c r="AM48" s="48">
        <f t="shared" si="28"/>
        <v>142</v>
      </c>
      <c r="AN48" s="49" t="str">
        <f>IF(AI48="","",IF(MOD(AI48-2,7),"",INT((9+AI48-MOD(AI48-2,7)-DATE(YEAR(3+AI48-MOD(AI48-2,7)),1,))/7)))</f>
        <v/>
      </c>
      <c r="AO48" s="50"/>
      <c r="AP48" s="161" t="str">
        <f t="shared" si="20"/>
        <v>Ma</v>
      </c>
      <c r="AQ48" s="162">
        <f>+AQ46+1</f>
        <v>44369</v>
      </c>
      <c r="AR48" s="47" t="str">
        <f t="shared" si="21"/>
        <v/>
      </c>
      <c r="AS48" s="497" t="str">
        <f t="shared" si="22"/>
        <v/>
      </c>
      <c r="AT48" s="48" t="str">
        <f t="shared" si="23"/>
        <v/>
      </c>
      <c r="AU48" s="48">
        <f t="shared" si="29"/>
        <v>173</v>
      </c>
      <c r="AV48" s="49" t="str">
        <f t="shared" si="30"/>
        <v/>
      </c>
      <c r="AW48" s="403"/>
    </row>
    <row r="49" spans="1:49" s="3" customFormat="1" ht="4" customHeight="1" x14ac:dyDescent="0.15">
      <c r="A49" s="402"/>
      <c r="B49" s="161"/>
      <c r="C49" s="162"/>
      <c r="D49" s="47"/>
      <c r="E49" s="497"/>
      <c r="F49" s="48"/>
      <c r="G49" s="48" t="str">
        <f t="shared" si="24"/>
        <v/>
      </c>
      <c r="H49" s="49"/>
      <c r="I49" s="50"/>
      <c r="J49" s="161"/>
      <c r="K49" s="162"/>
      <c r="L49" s="47"/>
      <c r="M49" s="497"/>
      <c r="N49" s="48"/>
      <c r="O49" s="48" t="str">
        <f t="shared" si="25"/>
        <v/>
      </c>
      <c r="P49" s="49"/>
      <c r="Q49" s="50"/>
      <c r="R49" s="161"/>
      <c r="S49" s="162"/>
      <c r="T49" s="47"/>
      <c r="U49" s="497"/>
      <c r="V49" s="48"/>
      <c r="W49" s="48" t="str">
        <f t="shared" si="26"/>
        <v/>
      </c>
      <c r="X49" s="49"/>
      <c r="Y49" s="50"/>
      <c r="Z49" s="161"/>
      <c r="AA49" s="162"/>
      <c r="AB49" s="47"/>
      <c r="AC49" s="497"/>
      <c r="AD49" s="48"/>
      <c r="AE49" s="48" t="str">
        <f t="shared" si="27"/>
        <v/>
      </c>
      <c r="AF49" s="49"/>
      <c r="AG49" s="50"/>
      <c r="AH49" s="161"/>
      <c r="AI49" s="162"/>
      <c r="AJ49" s="47"/>
      <c r="AK49" s="497"/>
      <c r="AL49" s="48"/>
      <c r="AM49" s="48" t="str">
        <f t="shared" si="28"/>
        <v/>
      </c>
      <c r="AN49" s="49"/>
      <c r="AO49" s="50"/>
      <c r="AP49" s="161"/>
      <c r="AQ49" s="162"/>
      <c r="AR49" s="47"/>
      <c r="AS49" s="497"/>
      <c r="AT49" s="48"/>
      <c r="AU49" s="48" t="str">
        <f t="shared" si="29"/>
        <v/>
      </c>
      <c r="AV49" s="49"/>
      <c r="AW49" s="403"/>
    </row>
    <row r="50" spans="1:49" s="3" customFormat="1" ht="18" customHeight="1" x14ac:dyDescent="0.15">
      <c r="A50" s="402"/>
      <c r="B50" s="161" t="str">
        <f t="shared" si="0"/>
        <v>Sa</v>
      </c>
      <c r="C50" s="162">
        <f>+C48+1</f>
        <v>44219</v>
      </c>
      <c r="D50" s="47" t="str">
        <f t="shared" si="1"/>
        <v/>
      </c>
      <c r="E50" s="497" t="str">
        <f t="shared" si="2"/>
        <v/>
      </c>
      <c r="F50" s="48" t="str">
        <f t="shared" si="3"/>
        <v/>
      </c>
      <c r="G50" s="48">
        <f t="shared" si="24"/>
        <v>23</v>
      </c>
      <c r="H50" s="49" t="str">
        <f>IF(C50="","",IF(MOD(C50-2,7),"",INT((9+C50-MOD(C50-2,7)-DATE(YEAR(3+C50-MOD(C50-2,7)),1,))/7)))</f>
        <v/>
      </c>
      <c r="I50" s="50"/>
      <c r="J50" s="161" t="str">
        <f t="shared" si="4"/>
        <v>Ma</v>
      </c>
      <c r="K50" s="162">
        <f>+K48+1</f>
        <v>44250</v>
      </c>
      <c r="L50" s="47" t="str">
        <f t="shared" si="5"/>
        <v/>
      </c>
      <c r="M50" s="497" t="str">
        <f t="shared" si="6"/>
        <v/>
      </c>
      <c r="N50" s="48" t="str">
        <f t="shared" si="7"/>
        <v/>
      </c>
      <c r="O50" s="48">
        <f t="shared" si="25"/>
        <v>54</v>
      </c>
      <c r="P50" s="49" t="str">
        <f>IF(K50="","",IF(MOD(K50-2,7),"",INT((9+K50-MOD(K50-2,7)-DATE(YEAR(3+K50-MOD(K50-2,7)),1,))/7)))</f>
        <v/>
      </c>
      <c r="Q50" s="50"/>
      <c r="R50" s="161" t="str">
        <f t="shared" si="8"/>
        <v>Ma</v>
      </c>
      <c r="S50" s="162">
        <f>+S48+1</f>
        <v>44278</v>
      </c>
      <c r="T50" s="47" t="str">
        <f t="shared" si="9"/>
        <v/>
      </c>
      <c r="U50" s="497" t="str">
        <f t="shared" si="10"/>
        <v/>
      </c>
      <c r="V50" s="48" t="str">
        <f t="shared" si="11"/>
        <v/>
      </c>
      <c r="W50" s="48">
        <f t="shared" si="26"/>
        <v>82</v>
      </c>
      <c r="X50" s="49" t="str">
        <f>IF(S50="","",IF(MOD(S50-2,7),"",INT((9+S50-MOD(S50-2,7)-DATE(YEAR(3+S50-MOD(S50-2,7)),1,))/7)))</f>
        <v/>
      </c>
      <c r="Y50" s="50"/>
      <c r="Z50" s="161" t="str">
        <f t="shared" si="12"/>
        <v>Ve</v>
      </c>
      <c r="AA50" s="162">
        <f>+AA48+1</f>
        <v>44309</v>
      </c>
      <c r="AB50" s="47" t="str">
        <f t="shared" si="13"/>
        <v/>
      </c>
      <c r="AC50" s="497" t="str">
        <f t="shared" si="14"/>
        <v/>
      </c>
      <c r="AD50" s="48" t="str">
        <f t="shared" si="15"/>
        <v/>
      </c>
      <c r="AE50" s="48">
        <f t="shared" si="27"/>
        <v>113</v>
      </c>
      <c r="AF50" s="49" t="str">
        <f>IF(AA50="","",IF(MOD(AA50-2,7),"",INT((9+AA50-MOD(AA50-2,7)-DATE(YEAR(3+AA50-MOD(AA50-2,7)),1,))/7)))</f>
        <v/>
      </c>
      <c r="AG50" s="50"/>
      <c r="AH50" s="161" t="str">
        <f t="shared" si="16"/>
        <v>Di</v>
      </c>
      <c r="AI50" s="162">
        <f>+AI48+1</f>
        <v>44339</v>
      </c>
      <c r="AJ50" s="47" t="str">
        <f t="shared" si="17"/>
        <v>F</v>
      </c>
      <c r="AK50" s="497" t="str">
        <f t="shared" si="18"/>
        <v/>
      </c>
      <c r="AL50" s="48" t="str">
        <f t="shared" si="19"/>
        <v>Pentecôte</v>
      </c>
      <c r="AM50" s="48">
        <f t="shared" si="28"/>
        <v>143</v>
      </c>
      <c r="AN50" s="49" t="str">
        <f>IF(AI50="","",IF(MOD(AI50-2,7),"",INT((9+AI50-MOD(AI50-2,7)-DATE(YEAR(3+AI50-MOD(AI50-2,7)),1,))/7)))</f>
        <v/>
      </c>
      <c r="AO50" s="50"/>
      <c r="AP50" s="161" t="str">
        <f t="shared" si="20"/>
        <v>Me</v>
      </c>
      <c r="AQ50" s="162">
        <f>+AQ48+1</f>
        <v>44370</v>
      </c>
      <c r="AR50" s="47" t="str">
        <f t="shared" si="21"/>
        <v/>
      </c>
      <c r="AS50" s="497" t="str">
        <f t="shared" si="22"/>
        <v/>
      </c>
      <c r="AT50" s="48" t="str">
        <f t="shared" si="23"/>
        <v/>
      </c>
      <c r="AU50" s="48">
        <f t="shared" si="29"/>
        <v>174</v>
      </c>
      <c r="AV50" s="49" t="str">
        <f t="shared" si="30"/>
        <v/>
      </c>
      <c r="AW50" s="403"/>
    </row>
    <row r="51" spans="1:49" s="3" customFormat="1" ht="4" customHeight="1" x14ac:dyDescent="0.15">
      <c r="A51" s="402"/>
      <c r="B51" s="161"/>
      <c r="C51" s="162"/>
      <c r="D51" s="47"/>
      <c r="E51" s="497"/>
      <c r="F51" s="48"/>
      <c r="G51" s="48" t="str">
        <f t="shared" si="24"/>
        <v/>
      </c>
      <c r="H51" s="49"/>
      <c r="I51" s="50"/>
      <c r="J51" s="161"/>
      <c r="K51" s="162"/>
      <c r="L51" s="47"/>
      <c r="M51" s="497"/>
      <c r="N51" s="48"/>
      <c r="O51" s="48" t="str">
        <f t="shared" si="25"/>
        <v/>
      </c>
      <c r="P51" s="49"/>
      <c r="Q51" s="50"/>
      <c r="R51" s="161"/>
      <c r="S51" s="162"/>
      <c r="T51" s="47"/>
      <c r="U51" s="497"/>
      <c r="V51" s="48"/>
      <c r="W51" s="48" t="str">
        <f t="shared" si="26"/>
        <v/>
      </c>
      <c r="X51" s="49"/>
      <c r="Y51" s="50"/>
      <c r="Z51" s="161"/>
      <c r="AA51" s="162"/>
      <c r="AB51" s="47"/>
      <c r="AC51" s="497"/>
      <c r="AD51" s="48"/>
      <c r="AE51" s="48" t="str">
        <f t="shared" si="27"/>
        <v/>
      </c>
      <c r="AF51" s="49"/>
      <c r="AG51" s="50"/>
      <c r="AH51" s="161"/>
      <c r="AI51" s="162"/>
      <c r="AJ51" s="47"/>
      <c r="AK51" s="497"/>
      <c r="AL51" s="48"/>
      <c r="AM51" s="48" t="str">
        <f t="shared" si="28"/>
        <v/>
      </c>
      <c r="AN51" s="49"/>
      <c r="AO51" s="50"/>
      <c r="AP51" s="161"/>
      <c r="AQ51" s="162"/>
      <c r="AR51" s="47"/>
      <c r="AS51" s="497"/>
      <c r="AT51" s="48"/>
      <c r="AU51" s="48" t="str">
        <f t="shared" si="29"/>
        <v/>
      </c>
      <c r="AV51" s="49"/>
      <c r="AW51" s="403"/>
    </row>
    <row r="52" spans="1:49" s="3" customFormat="1" ht="18" customHeight="1" x14ac:dyDescent="0.15">
      <c r="A52" s="402"/>
      <c r="B52" s="161" t="str">
        <f t="shared" si="0"/>
        <v>Di</v>
      </c>
      <c r="C52" s="162">
        <f>+C50+1</f>
        <v>44220</v>
      </c>
      <c r="D52" s="47" t="str">
        <f t="shared" si="1"/>
        <v/>
      </c>
      <c r="E52" s="497" t="str">
        <f t="shared" si="2"/>
        <v/>
      </c>
      <c r="F52" s="48" t="str">
        <f t="shared" si="3"/>
        <v/>
      </c>
      <c r="G52" s="48">
        <f t="shared" si="24"/>
        <v>24</v>
      </c>
      <c r="H52" s="49" t="str">
        <f>IF(C52="","",IF(MOD(C52-2,7),"",INT((9+C52-MOD(C52-2,7)-DATE(YEAR(3+C52-MOD(C52-2,7)),1,))/7)))</f>
        <v/>
      </c>
      <c r="I52" s="50"/>
      <c r="J52" s="161" t="str">
        <f t="shared" si="4"/>
        <v>Me</v>
      </c>
      <c r="K52" s="162">
        <f>+K50+1</f>
        <v>44251</v>
      </c>
      <c r="L52" s="47" t="str">
        <f t="shared" si="5"/>
        <v/>
      </c>
      <c r="M52" s="497" t="str">
        <f t="shared" si="6"/>
        <v/>
      </c>
      <c r="N52" s="48" t="str">
        <f t="shared" si="7"/>
        <v/>
      </c>
      <c r="O52" s="48">
        <f t="shared" si="25"/>
        <v>55</v>
      </c>
      <c r="P52" s="49" t="str">
        <f>IF(K52="","",IF(MOD(K52-2,7),"",INT((9+K52-MOD(K52-2,7)-DATE(YEAR(3+K52-MOD(K52-2,7)),1,))/7)))</f>
        <v/>
      </c>
      <c r="Q52" s="50"/>
      <c r="R52" s="161" t="str">
        <f t="shared" si="8"/>
        <v>Me</v>
      </c>
      <c r="S52" s="162">
        <f>+S50+1</f>
        <v>44279</v>
      </c>
      <c r="T52" s="47" t="str">
        <f t="shared" si="9"/>
        <v/>
      </c>
      <c r="U52" s="497" t="str">
        <f t="shared" si="10"/>
        <v/>
      </c>
      <c r="V52" s="48" t="str">
        <f t="shared" si="11"/>
        <v/>
      </c>
      <c r="W52" s="48">
        <f t="shared" si="26"/>
        <v>83</v>
      </c>
      <c r="X52" s="49" t="str">
        <f>IF(S52="","",IF(MOD(S52-2,7),"",INT((9+S52-MOD(S52-2,7)-DATE(YEAR(3+S52-MOD(S52-2,7)),1,))/7)))</f>
        <v/>
      </c>
      <c r="Y52" s="50"/>
      <c r="Z52" s="161" t="str">
        <f t="shared" si="12"/>
        <v>Sa</v>
      </c>
      <c r="AA52" s="162">
        <f>+AA50+1</f>
        <v>44310</v>
      </c>
      <c r="AB52" s="47" t="str">
        <f t="shared" si="13"/>
        <v/>
      </c>
      <c r="AC52" s="497" t="str">
        <f t="shared" si="14"/>
        <v/>
      </c>
      <c r="AD52" s="48" t="str">
        <f t="shared" si="15"/>
        <v/>
      </c>
      <c r="AE52" s="48">
        <f t="shared" si="27"/>
        <v>114</v>
      </c>
      <c r="AF52" s="49" t="str">
        <f>IF(AA52="","",IF(MOD(AA52-2,7),"",INT((9+AA52-MOD(AA52-2,7)-DATE(YEAR(3+AA52-MOD(AA52-2,7)),1,))/7)))</f>
        <v/>
      </c>
      <c r="AG52" s="50"/>
      <c r="AH52" s="161" t="str">
        <f t="shared" si="16"/>
        <v>Lu</v>
      </c>
      <c r="AI52" s="162">
        <f>+AI50+1</f>
        <v>44340</v>
      </c>
      <c r="AJ52" s="47" t="str">
        <f t="shared" si="17"/>
        <v>F</v>
      </c>
      <c r="AK52" s="497" t="str">
        <f t="shared" si="18"/>
        <v/>
      </c>
      <c r="AL52" s="48" t="str">
        <f t="shared" si="19"/>
        <v>Lun. Pentecôte</v>
      </c>
      <c r="AM52" s="48">
        <f t="shared" si="28"/>
        <v>144</v>
      </c>
      <c r="AN52" s="49">
        <f>IF(AI52="","",IF(MOD(AI52-2,7),"",INT((9+AI52-MOD(AI52-2,7)-DATE(YEAR(3+AI52-MOD(AI52-2,7)),1,))/7)))</f>
        <v>21</v>
      </c>
      <c r="AO52" s="50"/>
      <c r="AP52" s="161" t="str">
        <f t="shared" si="20"/>
        <v>Je</v>
      </c>
      <c r="AQ52" s="162">
        <f>+AQ50+1</f>
        <v>44371</v>
      </c>
      <c r="AR52" s="47" t="str">
        <f t="shared" si="21"/>
        <v/>
      </c>
      <c r="AS52" s="497" t="str">
        <f t="shared" si="22"/>
        <v>🌕</v>
      </c>
      <c r="AT52" s="48" t="str">
        <f t="shared" si="23"/>
        <v/>
      </c>
      <c r="AU52" s="48">
        <f t="shared" si="29"/>
        <v>175</v>
      </c>
      <c r="AV52" s="49" t="str">
        <f t="shared" si="30"/>
        <v/>
      </c>
      <c r="AW52" s="403"/>
    </row>
    <row r="53" spans="1:49" s="3" customFormat="1" ht="4" customHeight="1" x14ac:dyDescent="0.15">
      <c r="A53" s="402"/>
      <c r="B53" s="161"/>
      <c r="C53" s="162"/>
      <c r="D53" s="47"/>
      <c r="E53" s="497"/>
      <c r="F53" s="48"/>
      <c r="G53" s="48" t="str">
        <f t="shared" si="24"/>
        <v/>
      </c>
      <c r="H53" s="49"/>
      <c r="I53" s="50"/>
      <c r="J53" s="161"/>
      <c r="K53" s="162"/>
      <c r="L53" s="47"/>
      <c r="M53" s="497"/>
      <c r="N53" s="48"/>
      <c r="O53" s="48" t="str">
        <f t="shared" si="25"/>
        <v/>
      </c>
      <c r="P53" s="49"/>
      <c r="Q53" s="50"/>
      <c r="R53" s="161"/>
      <c r="S53" s="162"/>
      <c r="T53" s="47"/>
      <c r="U53" s="497"/>
      <c r="V53" s="48"/>
      <c r="W53" s="48" t="str">
        <f t="shared" si="26"/>
        <v/>
      </c>
      <c r="X53" s="49"/>
      <c r="Y53" s="50"/>
      <c r="Z53" s="161"/>
      <c r="AA53" s="162"/>
      <c r="AB53" s="47"/>
      <c r="AC53" s="497"/>
      <c r="AD53" s="48"/>
      <c r="AE53" s="48" t="str">
        <f t="shared" si="27"/>
        <v/>
      </c>
      <c r="AF53" s="49"/>
      <c r="AG53" s="50"/>
      <c r="AH53" s="161"/>
      <c r="AI53" s="162"/>
      <c r="AJ53" s="47"/>
      <c r="AK53" s="497"/>
      <c r="AL53" s="48"/>
      <c r="AM53" s="48" t="str">
        <f t="shared" si="28"/>
        <v/>
      </c>
      <c r="AN53" s="49"/>
      <c r="AO53" s="50"/>
      <c r="AP53" s="161"/>
      <c r="AQ53" s="162"/>
      <c r="AR53" s="47"/>
      <c r="AS53" s="497"/>
      <c r="AT53" s="48"/>
      <c r="AU53" s="48" t="str">
        <f t="shared" si="29"/>
        <v/>
      </c>
      <c r="AV53" s="49"/>
      <c r="AW53" s="403"/>
    </row>
    <row r="54" spans="1:49" s="3" customFormat="1" ht="18" customHeight="1" x14ac:dyDescent="0.15">
      <c r="A54" s="402"/>
      <c r="B54" s="161" t="str">
        <f t="shared" si="0"/>
        <v>Lu</v>
      </c>
      <c r="C54" s="162">
        <f>+C52+1</f>
        <v>44221</v>
      </c>
      <c r="D54" s="47" t="str">
        <f t="shared" si="1"/>
        <v/>
      </c>
      <c r="E54" s="497" t="str">
        <f t="shared" si="2"/>
        <v/>
      </c>
      <c r="F54" s="48" t="str">
        <f t="shared" si="3"/>
        <v/>
      </c>
      <c r="G54" s="48">
        <f t="shared" si="24"/>
        <v>25</v>
      </c>
      <c r="H54" s="49">
        <f>IF(C54="","",IF(MOD(C54-2,7),"",INT((9+C54-MOD(C54-2,7)-DATE(YEAR(3+C54-MOD(C54-2,7)),1,))/7)))</f>
        <v>4</v>
      </c>
      <c r="I54" s="50"/>
      <c r="J54" s="161" t="str">
        <f t="shared" si="4"/>
        <v>Je</v>
      </c>
      <c r="K54" s="162">
        <f>+K52+1</f>
        <v>44252</v>
      </c>
      <c r="L54" s="47" t="str">
        <f t="shared" si="5"/>
        <v/>
      </c>
      <c r="M54" s="497" t="str">
        <f t="shared" si="6"/>
        <v/>
      </c>
      <c r="N54" s="48" t="str">
        <f t="shared" si="7"/>
        <v/>
      </c>
      <c r="O54" s="48">
        <f t="shared" si="25"/>
        <v>56</v>
      </c>
      <c r="P54" s="49" t="str">
        <f>IF(K54="","",IF(MOD(K54-2,7),"",INT((9+K54-MOD(K54-2,7)-DATE(YEAR(3+K54-MOD(K54-2,7)),1,))/7)))</f>
        <v/>
      </c>
      <c r="Q54" s="50"/>
      <c r="R54" s="161" t="str">
        <f t="shared" si="8"/>
        <v>Je</v>
      </c>
      <c r="S54" s="162">
        <f>+S52+1</f>
        <v>44280</v>
      </c>
      <c r="T54" s="47" t="str">
        <f t="shared" si="9"/>
        <v/>
      </c>
      <c r="U54" s="497" t="str">
        <f t="shared" si="10"/>
        <v/>
      </c>
      <c r="V54" s="48" t="str">
        <f t="shared" si="11"/>
        <v/>
      </c>
      <c r="W54" s="48">
        <f t="shared" si="26"/>
        <v>84</v>
      </c>
      <c r="X54" s="49" t="str">
        <f>IF(S54="","",IF(MOD(S54-2,7),"",INT((9+S54-MOD(S54-2,7)-DATE(YEAR(3+S54-MOD(S54-2,7)),1,))/7)))</f>
        <v/>
      </c>
      <c r="Y54" s="50"/>
      <c r="Z54" s="161" t="str">
        <f t="shared" si="12"/>
        <v>Di</v>
      </c>
      <c r="AA54" s="162">
        <f>+AA52+1</f>
        <v>44311</v>
      </c>
      <c r="AB54" s="47" t="str">
        <f t="shared" si="13"/>
        <v/>
      </c>
      <c r="AC54" s="497" t="str">
        <f t="shared" si="14"/>
        <v/>
      </c>
      <c r="AD54" s="48" t="str">
        <f t="shared" si="15"/>
        <v/>
      </c>
      <c r="AE54" s="48">
        <f t="shared" si="27"/>
        <v>115</v>
      </c>
      <c r="AF54" s="49" t="str">
        <f>IF(AA54="","",IF(MOD(AA54-2,7),"",INT((9+AA54-MOD(AA54-2,7)-DATE(YEAR(3+AA54-MOD(AA54-2,7)),1,))/7)))</f>
        <v/>
      </c>
      <c r="AG54" s="50"/>
      <c r="AH54" s="161" t="str">
        <f t="shared" si="16"/>
        <v>Ma</v>
      </c>
      <c r="AI54" s="162">
        <f>+AI52+1</f>
        <v>44341</v>
      </c>
      <c r="AJ54" s="47" t="str">
        <f t="shared" si="17"/>
        <v/>
      </c>
      <c r="AK54" s="497" t="str">
        <f t="shared" si="18"/>
        <v/>
      </c>
      <c r="AL54" s="48" t="str">
        <f t="shared" si="19"/>
        <v/>
      </c>
      <c r="AM54" s="48">
        <f t="shared" si="28"/>
        <v>145</v>
      </c>
      <c r="AN54" s="49" t="str">
        <f>IF(AI54="","",IF(MOD(AI54-2,7),"",INT((9+AI54-MOD(AI54-2,7)-DATE(YEAR(3+AI54-MOD(AI54-2,7)),1,))/7)))</f>
        <v/>
      </c>
      <c r="AO54" s="50"/>
      <c r="AP54" s="161" t="str">
        <f t="shared" si="20"/>
        <v>Ve</v>
      </c>
      <c r="AQ54" s="162">
        <f>+AQ52+1</f>
        <v>44372</v>
      </c>
      <c r="AR54" s="47" t="str">
        <f t="shared" si="21"/>
        <v/>
      </c>
      <c r="AS54" s="497" t="str">
        <f t="shared" si="22"/>
        <v/>
      </c>
      <c r="AT54" s="48" t="str">
        <f t="shared" si="23"/>
        <v/>
      </c>
      <c r="AU54" s="48">
        <f t="shared" si="29"/>
        <v>176</v>
      </c>
      <c r="AV54" s="49" t="str">
        <f t="shared" si="30"/>
        <v/>
      </c>
      <c r="AW54" s="403"/>
    </row>
    <row r="55" spans="1:49" s="3" customFormat="1" ht="4" customHeight="1" x14ac:dyDescent="0.15">
      <c r="A55" s="402"/>
      <c r="B55" s="161"/>
      <c r="C55" s="162"/>
      <c r="D55" s="47"/>
      <c r="E55" s="497"/>
      <c r="F55" s="48"/>
      <c r="G55" s="48" t="str">
        <f t="shared" si="24"/>
        <v/>
      </c>
      <c r="H55" s="49"/>
      <c r="I55" s="50"/>
      <c r="J55" s="161"/>
      <c r="K55" s="162"/>
      <c r="L55" s="47"/>
      <c r="M55" s="497"/>
      <c r="N55" s="48"/>
      <c r="O55" s="48" t="str">
        <f t="shared" si="25"/>
        <v/>
      </c>
      <c r="P55" s="49"/>
      <c r="Q55" s="50"/>
      <c r="R55" s="161"/>
      <c r="S55" s="162"/>
      <c r="T55" s="47"/>
      <c r="U55" s="497"/>
      <c r="V55" s="48"/>
      <c r="W55" s="48" t="str">
        <f t="shared" si="26"/>
        <v/>
      </c>
      <c r="X55" s="49"/>
      <c r="Y55" s="50"/>
      <c r="Z55" s="161"/>
      <c r="AA55" s="162"/>
      <c r="AB55" s="47"/>
      <c r="AC55" s="497"/>
      <c r="AD55" s="48"/>
      <c r="AE55" s="48" t="str">
        <f t="shared" si="27"/>
        <v/>
      </c>
      <c r="AF55" s="49"/>
      <c r="AG55" s="50"/>
      <c r="AH55" s="161"/>
      <c r="AI55" s="162"/>
      <c r="AJ55" s="47"/>
      <c r="AK55" s="497"/>
      <c r="AL55" s="48"/>
      <c r="AM55" s="48" t="str">
        <f t="shared" si="28"/>
        <v/>
      </c>
      <c r="AN55" s="49"/>
      <c r="AO55" s="50"/>
      <c r="AP55" s="161"/>
      <c r="AQ55" s="162"/>
      <c r="AR55" s="47"/>
      <c r="AS55" s="497"/>
      <c r="AT55" s="48"/>
      <c r="AU55" s="48" t="str">
        <f t="shared" si="29"/>
        <v/>
      </c>
      <c r="AV55" s="49"/>
      <c r="AW55" s="403"/>
    </row>
    <row r="56" spans="1:49" s="3" customFormat="1" ht="18" customHeight="1" x14ac:dyDescent="0.15">
      <c r="A56" s="402"/>
      <c r="B56" s="161" t="str">
        <f t="shared" si="0"/>
        <v>Ma</v>
      </c>
      <c r="C56" s="162">
        <f>+C54+1</f>
        <v>44222</v>
      </c>
      <c r="D56" s="47" t="str">
        <f t="shared" si="1"/>
        <v/>
      </c>
      <c r="E56" s="497" t="str">
        <f t="shared" si="2"/>
        <v/>
      </c>
      <c r="F56" s="48" t="str">
        <f t="shared" si="3"/>
        <v/>
      </c>
      <c r="G56" s="48">
        <f t="shared" si="24"/>
        <v>26</v>
      </c>
      <c r="H56" s="49" t="str">
        <f>IF(C56="","",IF(MOD(C56-2,7),"",INT((9+C56-MOD(C56-2,7)-DATE(YEAR(3+C56-MOD(C56-2,7)),1,))/7)))</f>
        <v/>
      </c>
      <c r="I56" s="50"/>
      <c r="J56" s="161" t="str">
        <f t="shared" si="4"/>
        <v>Ve</v>
      </c>
      <c r="K56" s="162">
        <f>+K54+1</f>
        <v>44253</v>
      </c>
      <c r="L56" s="47" t="str">
        <f t="shared" si="5"/>
        <v/>
      </c>
      <c r="M56" s="497" t="str">
        <f t="shared" si="6"/>
        <v/>
      </c>
      <c r="N56" s="48" t="str">
        <f t="shared" si="7"/>
        <v/>
      </c>
      <c r="O56" s="48">
        <f t="shared" si="25"/>
        <v>57</v>
      </c>
      <c r="P56" s="49" t="str">
        <f>IF(K56="","",IF(MOD(K56-2,7),"",INT((9+K56-MOD(K56-2,7)-DATE(YEAR(3+K56-MOD(K56-2,7)),1,))/7)))</f>
        <v/>
      </c>
      <c r="Q56" s="50"/>
      <c r="R56" s="161" t="str">
        <f t="shared" si="8"/>
        <v>Ve</v>
      </c>
      <c r="S56" s="162">
        <f>+S54+1</f>
        <v>44281</v>
      </c>
      <c r="T56" s="47" t="str">
        <f t="shared" si="9"/>
        <v/>
      </c>
      <c r="U56" s="497" t="str">
        <f t="shared" si="10"/>
        <v/>
      </c>
      <c r="V56" s="48" t="str">
        <f t="shared" si="11"/>
        <v/>
      </c>
      <c r="W56" s="48">
        <f t="shared" si="26"/>
        <v>85</v>
      </c>
      <c r="X56" s="49" t="str">
        <f>IF(S56="","",IF(MOD(S56-2,7),"",INT((9+S56-MOD(S56-2,7)-DATE(YEAR(3+S56-MOD(S56-2,7)),1,))/7)))</f>
        <v/>
      </c>
      <c r="Y56" s="50"/>
      <c r="Z56" s="161" t="str">
        <f t="shared" si="12"/>
        <v>Lu</v>
      </c>
      <c r="AA56" s="162">
        <f>+AA54+1</f>
        <v>44312</v>
      </c>
      <c r="AB56" s="47" t="str">
        <f t="shared" si="13"/>
        <v/>
      </c>
      <c r="AC56" s="497" t="str">
        <f t="shared" si="14"/>
        <v/>
      </c>
      <c r="AD56" s="48" t="str">
        <f t="shared" si="15"/>
        <v/>
      </c>
      <c r="AE56" s="48">
        <f t="shared" si="27"/>
        <v>116</v>
      </c>
      <c r="AF56" s="49">
        <f>IF(AA56="","",IF(MOD(AA56-2,7),"",INT((9+AA56-MOD(AA56-2,7)-DATE(YEAR(3+AA56-MOD(AA56-2,7)),1,))/7)))</f>
        <v>17</v>
      </c>
      <c r="AG56" s="50"/>
      <c r="AH56" s="161" t="str">
        <f t="shared" si="16"/>
        <v>Me</v>
      </c>
      <c r="AI56" s="162">
        <f>+AI54+1</f>
        <v>44342</v>
      </c>
      <c r="AJ56" s="47" t="str">
        <f t="shared" si="17"/>
        <v/>
      </c>
      <c r="AK56" s="497" t="str">
        <f t="shared" si="18"/>
        <v>🌕</v>
      </c>
      <c r="AL56" s="48" t="str">
        <f t="shared" si="19"/>
        <v/>
      </c>
      <c r="AM56" s="48">
        <f t="shared" si="28"/>
        <v>146</v>
      </c>
      <c r="AN56" s="49" t="str">
        <f>IF(AI56="","",IF(MOD(AI56-2,7),"",INT((9+AI56-MOD(AI56-2,7)-DATE(YEAR(3+AI56-MOD(AI56-2,7)),1,))/7)))</f>
        <v/>
      </c>
      <c r="AO56" s="50"/>
      <c r="AP56" s="161" t="str">
        <f t="shared" si="20"/>
        <v>Sa</v>
      </c>
      <c r="AQ56" s="162">
        <f>+AQ54+1</f>
        <v>44373</v>
      </c>
      <c r="AR56" s="47" t="str">
        <f t="shared" si="21"/>
        <v/>
      </c>
      <c r="AS56" s="497" t="str">
        <f t="shared" si="22"/>
        <v/>
      </c>
      <c r="AT56" s="48" t="str">
        <f t="shared" si="23"/>
        <v/>
      </c>
      <c r="AU56" s="48">
        <f t="shared" si="29"/>
        <v>177</v>
      </c>
      <c r="AV56" s="49" t="str">
        <f t="shared" si="30"/>
        <v/>
      </c>
      <c r="AW56" s="403"/>
    </row>
    <row r="57" spans="1:49" s="3" customFormat="1" ht="4" customHeight="1" x14ac:dyDescent="0.15">
      <c r="A57" s="402"/>
      <c r="B57" s="161"/>
      <c r="C57" s="162"/>
      <c r="D57" s="47"/>
      <c r="E57" s="497"/>
      <c r="F57" s="48"/>
      <c r="G57" s="48" t="str">
        <f t="shared" si="24"/>
        <v/>
      </c>
      <c r="H57" s="49"/>
      <c r="I57" s="50"/>
      <c r="J57" s="161"/>
      <c r="K57" s="162"/>
      <c r="L57" s="47"/>
      <c r="M57" s="497"/>
      <c r="N57" s="48"/>
      <c r="O57" s="48" t="str">
        <f t="shared" si="25"/>
        <v/>
      </c>
      <c r="P57" s="49"/>
      <c r="Q57" s="50"/>
      <c r="R57" s="161"/>
      <c r="S57" s="162"/>
      <c r="T57" s="47"/>
      <c r="U57" s="497"/>
      <c r="V57" s="48"/>
      <c r="W57" s="48" t="str">
        <f t="shared" si="26"/>
        <v/>
      </c>
      <c r="X57" s="49"/>
      <c r="Y57" s="50"/>
      <c r="Z57" s="161"/>
      <c r="AA57" s="162"/>
      <c r="AB57" s="47"/>
      <c r="AC57" s="497"/>
      <c r="AD57" s="48"/>
      <c r="AE57" s="48" t="str">
        <f t="shared" si="27"/>
        <v/>
      </c>
      <c r="AF57" s="49"/>
      <c r="AG57" s="50"/>
      <c r="AH57" s="161"/>
      <c r="AI57" s="162"/>
      <c r="AJ57" s="47"/>
      <c r="AK57" s="497"/>
      <c r="AL57" s="48"/>
      <c r="AM57" s="48" t="str">
        <f t="shared" si="28"/>
        <v/>
      </c>
      <c r="AN57" s="49"/>
      <c r="AO57" s="50"/>
      <c r="AP57" s="161"/>
      <c r="AQ57" s="162"/>
      <c r="AR57" s="47"/>
      <c r="AS57" s="497"/>
      <c r="AT57" s="48"/>
      <c r="AU57" s="48" t="str">
        <f t="shared" si="29"/>
        <v/>
      </c>
      <c r="AV57" s="49"/>
      <c r="AW57" s="403"/>
    </row>
    <row r="58" spans="1:49" s="3" customFormat="1" ht="18" customHeight="1" x14ac:dyDescent="0.15">
      <c r="A58" s="402"/>
      <c r="B58" s="161" t="str">
        <f t="shared" si="0"/>
        <v>Me</v>
      </c>
      <c r="C58" s="162">
        <f>+C56+1</f>
        <v>44223</v>
      </c>
      <c r="D58" s="47" t="str">
        <f t="shared" si="1"/>
        <v/>
      </c>
      <c r="E58" s="497" t="str">
        <f t="shared" si="2"/>
        <v/>
      </c>
      <c r="F58" s="48" t="str">
        <f t="shared" si="3"/>
        <v/>
      </c>
      <c r="G58" s="48">
        <f t="shared" si="24"/>
        <v>27</v>
      </c>
      <c r="H58" s="49" t="str">
        <f>IF(C58="","",IF(MOD(C58-2,7),"",INT((9+C58-MOD(C58-2,7)-DATE(YEAR(3+C58-MOD(C58-2,7)),1,))/7)))</f>
        <v/>
      </c>
      <c r="I58" s="50"/>
      <c r="J58" s="161" t="str">
        <f t="shared" si="4"/>
        <v>Sa</v>
      </c>
      <c r="K58" s="162">
        <f>+K56+1</f>
        <v>44254</v>
      </c>
      <c r="L58" s="47" t="str">
        <f t="shared" si="5"/>
        <v/>
      </c>
      <c r="M58" s="497" t="str">
        <f t="shared" si="6"/>
        <v>🌕</v>
      </c>
      <c r="N58" s="48" t="str">
        <f t="shared" si="7"/>
        <v/>
      </c>
      <c r="O58" s="48">
        <f t="shared" si="25"/>
        <v>58</v>
      </c>
      <c r="P58" s="49" t="str">
        <f>IF(K58="","",IF(MOD(K58-2,7),"",INT((9+K58-MOD(K58-2,7)-DATE(YEAR(3+K58-MOD(K58-2,7)),1,))/7)))</f>
        <v/>
      </c>
      <c r="Q58" s="50"/>
      <c r="R58" s="161" t="str">
        <f t="shared" si="8"/>
        <v>Sa</v>
      </c>
      <c r="S58" s="162">
        <f>+S56+1</f>
        <v>44282</v>
      </c>
      <c r="T58" s="47" t="str">
        <f t="shared" si="9"/>
        <v/>
      </c>
      <c r="U58" s="497" t="str">
        <f t="shared" si="10"/>
        <v/>
      </c>
      <c r="V58" s="48" t="str">
        <f t="shared" si="11"/>
        <v/>
      </c>
      <c r="W58" s="48">
        <f t="shared" si="26"/>
        <v>86</v>
      </c>
      <c r="X58" s="49" t="str">
        <f>IF(S58="","",IF(MOD(S58-2,7),"",INT((9+S58-MOD(S58-2,7)-DATE(YEAR(3+S58-MOD(S58-2,7)),1,))/7)))</f>
        <v/>
      </c>
      <c r="Y58" s="50"/>
      <c r="Z58" s="161" t="str">
        <f t="shared" si="12"/>
        <v>Ma</v>
      </c>
      <c r="AA58" s="162">
        <f>+AA56+1</f>
        <v>44313</v>
      </c>
      <c r="AB58" s="47" t="str">
        <f t="shared" si="13"/>
        <v/>
      </c>
      <c r="AC58" s="497" t="str">
        <f t="shared" si="14"/>
        <v>🌕</v>
      </c>
      <c r="AD58" s="48" t="str">
        <f t="shared" si="15"/>
        <v/>
      </c>
      <c r="AE58" s="48">
        <f t="shared" si="27"/>
        <v>117</v>
      </c>
      <c r="AF58" s="49" t="str">
        <f>IF(AA58="","",IF(MOD(AA58-2,7),"",INT((9+AA58-MOD(AA58-2,7)-DATE(YEAR(3+AA58-MOD(AA58-2,7)),1,))/7)))</f>
        <v/>
      </c>
      <c r="AG58" s="50"/>
      <c r="AH58" s="161" t="str">
        <f t="shared" si="16"/>
        <v>Je</v>
      </c>
      <c r="AI58" s="162">
        <f>+AI56+1</f>
        <v>44343</v>
      </c>
      <c r="AJ58" s="47" t="str">
        <f t="shared" si="17"/>
        <v/>
      </c>
      <c r="AK58" s="497" t="str">
        <f t="shared" si="18"/>
        <v/>
      </c>
      <c r="AL58" s="48" t="str">
        <f t="shared" si="19"/>
        <v/>
      </c>
      <c r="AM58" s="48">
        <f t="shared" si="28"/>
        <v>147</v>
      </c>
      <c r="AN58" s="49" t="str">
        <f>IF(AI58="","",IF(MOD(AI58-2,7),"",INT((9+AI58-MOD(AI58-2,7)-DATE(YEAR(3+AI58-MOD(AI58-2,7)),1,))/7)))</f>
        <v/>
      </c>
      <c r="AO58" s="50"/>
      <c r="AP58" s="161" t="str">
        <f t="shared" si="20"/>
        <v>Di</v>
      </c>
      <c r="AQ58" s="162">
        <f>+AQ56+1</f>
        <v>44374</v>
      </c>
      <c r="AR58" s="47" t="str">
        <f t="shared" si="21"/>
        <v/>
      </c>
      <c r="AS58" s="497" t="str">
        <f t="shared" si="22"/>
        <v/>
      </c>
      <c r="AT58" s="48" t="str">
        <f t="shared" si="23"/>
        <v/>
      </c>
      <c r="AU58" s="48">
        <f t="shared" si="29"/>
        <v>178</v>
      </c>
      <c r="AV58" s="49" t="str">
        <f t="shared" si="30"/>
        <v/>
      </c>
      <c r="AW58" s="403"/>
    </row>
    <row r="59" spans="1:49" s="3" customFormat="1" ht="4" customHeight="1" x14ac:dyDescent="0.15">
      <c r="A59" s="402"/>
      <c r="B59" s="161"/>
      <c r="C59" s="162"/>
      <c r="D59" s="47"/>
      <c r="E59" s="497"/>
      <c r="F59" s="48"/>
      <c r="G59" s="48" t="str">
        <f t="shared" si="24"/>
        <v/>
      </c>
      <c r="H59" s="49"/>
      <c r="I59" s="50"/>
      <c r="J59" s="161"/>
      <c r="K59" s="162"/>
      <c r="L59" s="47"/>
      <c r="M59" s="497"/>
      <c r="N59" s="48"/>
      <c r="O59" s="48" t="str">
        <f t="shared" si="25"/>
        <v/>
      </c>
      <c r="P59" s="49"/>
      <c r="Q59" s="50"/>
      <c r="R59" s="161"/>
      <c r="S59" s="162"/>
      <c r="T59" s="47"/>
      <c r="U59" s="497"/>
      <c r="V59" s="48"/>
      <c r="W59" s="48" t="str">
        <f t="shared" si="26"/>
        <v/>
      </c>
      <c r="X59" s="49"/>
      <c r="Y59" s="50"/>
      <c r="Z59" s="161"/>
      <c r="AA59" s="162"/>
      <c r="AB59" s="47"/>
      <c r="AC59" s="497"/>
      <c r="AD59" s="48"/>
      <c r="AE59" s="48" t="str">
        <f t="shared" si="27"/>
        <v/>
      </c>
      <c r="AF59" s="49"/>
      <c r="AG59" s="50"/>
      <c r="AH59" s="161"/>
      <c r="AI59" s="162"/>
      <c r="AJ59" s="47"/>
      <c r="AK59" s="497"/>
      <c r="AL59" s="48"/>
      <c r="AM59" s="48" t="str">
        <f t="shared" si="28"/>
        <v/>
      </c>
      <c r="AN59" s="49"/>
      <c r="AO59" s="50"/>
      <c r="AP59" s="161"/>
      <c r="AQ59" s="162"/>
      <c r="AR59" s="47"/>
      <c r="AS59" s="497"/>
      <c r="AT59" s="48"/>
      <c r="AU59" s="48" t="str">
        <f t="shared" si="29"/>
        <v/>
      </c>
      <c r="AV59" s="49"/>
      <c r="AW59" s="403"/>
    </row>
    <row r="60" spans="1:49" s="3" customFormat="1" ht="18" customHeight="1" x14ac:dyDescent="0.15">
      <c r="A60" s="402"/>
      <c r="B60" s="161" t="str">
        <f t="shared" si="0"/>
        <v>Je</v>
      </c>
      <c r="C60" s="162">
        <f>+C58+1</f>
        <v>44224</v>
      </c>
      <c r="D60" s="47" t="str">
        <f t="shared" si="1"/>
        <v/>
      </c>
      <c r="E60" s="497" t="str">
        <f t="shared" si="2"/>
        <v>🌕</v>
      </c>
      <c r="F60" s="48" t="str">
        <f t="shared" si="3"/>
        <v/>
      </c>
      <c r="G60" s="48">
        <f t="shared" si="24"/>
        <v>28</v>
      </c>
      <c r="H60" s="49" t="str">
        <f>IF(C60="","",IF(MOD(C60-2,7),"",INT((9+C60-MOD(C60-2,7)-DATE(YEAR(3+C60-MOD(C60-2,7)),1,))/7)))</f>
        <v/>
      </c>
      <c r="I60" s="50"/>
      <c r="J60" s="161" t="str">
        <f t="shared" si="4"/>
        <v>Di</v>
      </c>
      <c r="K60" s="162">
        <f>+K58+1</f>
        <v>44255</v>
      </c>
      <c r="L60" s="47" t="str">
        <f t="shared" si="5"/>
        <v/>
      </c>
      <c r="M60" s="497" t="str">
        <f t="shared" si="6"/>
        <v/>
      </c>
      <c r="N60" s="48" t="str">
        <f t="shared" si="7"/>
        <v/>
      </c>
      <c r="O60" s="48">
        <f t="shared" si="25"/>
        <v>59</v>
      </c>
      <c r="P60" s="49" t="str">
        <f>IF(K60="","",IF(MOD(K60-2,7),"",INT((9+K60-MOD(K60-2,7)-DATE(YEAR(3+K60-MOD(K60-2,7)),1,))/7)))</f>
        <v/>
      </c>
      <c r="Q60" s="50"/>
      <c r="R60" s="161" t="str">
        <f t="shared" si="8"/>
        <v>Di</v>
      </c>
      <c r="S60" s="162">
        <f>+S58+1</f>
        <v>44283</v>
      </c>
      <c r="T60" s="47" t="str">
        <f t="shared" si="9"/>
        <v>F</v>
      </c>
      <c r="U60" s="497" t="str">
        <f t="shared" si="10"/>
        <v>🌕</v>
      </c>
      <c r="V60" s="48" t="str">
        <f t="shared" si="11"/>
        <v>Heure d'été (+1)</v>
      </c>
      <c r="W60" s="48">
        <f t="shared" si="26"/>
        <v>87</v>
      </c>
      <c r="X60" s="49" t="str">
        <f>IF(S60="","",IF(MOD(S60-2,7),"",INT((9+S60-MOD(S60-2,7)-DATE(YEAR(3+S60-MOD(S60-2,7)),1,))/7)))</f>
        <v/>
      </c>
      <c r="Y60" s="50"/>
      <c r="Z60" s="161" t="str">
        <f t="shared" si="12"/>
        <v>Me</v>
      </c>
      <c r="AA60" s="162">
        <f>+AA58+1</f>
        <v>44314</v>
      </c>
      <c r="AB60" s="47" t="str">
        <f t="shared" si="13"/>
        <v/>
      </c>
      <c r="AC60" s="497" t="str">
        <f t="shared" si="14"/>
        <v/>
      </c>
      <c r="AD60" s="48" t="str">
        <f t="shared" si="15"/>
        <v/>
      </c>
      <c r="AE60" s="48">
        <f t="shared" si="27"/>
        <v>118</v>
      </c>
      <c r="AF60" s="49" t="str">
        <f>IF(AA60="","",IF(MOD(AA60-2,7),"",INT((9+AA60-MOD(AA60-2,7)-DATE(YEAR(3+AA60-MOD(AA60-2,7)),1,))/7)))</f>
        <v/>
      </c>
      <c r="AG60" s="50"/>
      <c r="AH60" s="161" t="str">
        <f t="shared" si="16"/>
        <v>Ve</v>
      </c>
      <c r="AI60" s="162">
        <f>+AI58+1</f>
        <v>44344</v>
      </c>
      <c r="AJ60" s="47" t="str">
        <f t="shared" si="17"/>
        <v/>
      </c>
      <c r="AK60" s="497" t="str">
        <f t="shared" si="18"/>
        <v/>
      </c>
      <c r="AL60" s="48" t="str">
        <f t="shared" si="19"/>
        <v/>
      </c>
      <c r="AM60" s="48">
        <f t="shared" si="28"/>
        <v>148</v>
      </c>
      <c r="AN60" s="49" t="str">
        <f>IF(AI60="","",IF(MOD(AI60-2,7),"",INT((9+AI60-MOD(AI60-2,7)-DATE(YEAR(3+AI60-MOD(AI60-2,7)),1,))/7)))</f>
        <v/>
      </c>
      <c r="AO60" s="50"/>
      <c r="AP60" s="161" t="str">
        <f t="shared" si="20"/>
        <v>Lu</v>
      </c>
      <c r="AQ60" s="162">
        <f>+AQ58+1</f>
        <v>44375</v>
      </c>
      <c r="AR60" s="47" t="str">
        <f t="shared" si="21"/>
        <v/>
      </c>
      <c r="AS60" s="497" t="str">
        <f t="shared" si="22"/>
        <v/>
      </c>
      <c r="AT60" s="48" t="str">
        <f t="shared" si="23"/>
        <v/>
      </c>
      <c r="AU60" s="48">
        <f t="shared" si="29"/>
        <v>179</v>
      </c>
      <c r="AV60" s="49">
        <f t="shared" si="30"/>
        <v>26</v>
      </c>
      <c r="AW60" s="403"/>
    </row>
    <row r="61" spans="1:49" s="3" customFormat="1" ht="4" customHeight="1" x14ac:dyDescent="0.15">
      <c r="A61" s="402"/>
      <c r="B61" s="161"/>
      <c r="C61" s="162"/>
      <c r="D61" s="47"/>
      <c r="E61" s="497"/>
      <c r="F61" s="48"/>
      <c r="G61" s="48" t="str">
        <f t="shared" si="24"/>
        <v/>
      </c>
      <c r="H61" s="49"/>
      <c r="I61" s="50"/>
      <c r="J61" s="161"/>
      <c r="K61" s="162"/>
      <c r="L61" s="47"/>
      <c r="M61" s="497"/>
      <c r="N61" s="48"/>
      <c r="O61" s="48" t="str">
        <f t="shared" si="25"/>
        <v/>
      </c>
      <c r="P61" s="49"/>
      <c r="Q61" s="50"/>
      <c r="R61" s="161"/>
      <c r="S61" s="162"/>
      <c r="T61" s="47"/>
      <c r="U61" s="497"/>
      <c r="V61" s="48"/>
      <c r="W61" s="48" t="str">
        <f t="shared" si="26"/>
        <v/>
      </c>
      <c r="X61" s="49"/>
      <c r="Y61" s="50"/>
      <c r="Z61" s="161"/>
      <c r="AA61" s="162"/>
      <c r="AB61" s="47"/>
      <c r="AC61" s="497"/>
      <c r="AD61" s="48"/>
      <c r="AE61" s="48" t="str">
        <f t="shared" si="27"/>
        <v/>
      </c>
      <c r="AF61" s="49"/>
      <c r="AG61" s="50"/>
      <c r="AH61" s="161"/>
      <c r="AI61" s="162"/>
      <c r="AJ61" s="47"/>
      <c r="AK61" s="497"/>
      <c r="AL61" s="48"/>
      <c r="AM61" s="48" t="str">
        <f t="shared" si="28"/>
        <v/>
      </c>
      <c r="AN61" s="49"/>
      <c r="AO61" s="50"/>
      <c r="AP61" s="161"/>
      <c r="AQ61" s="162"/>
      <c r="AR61" s="47"/>
      <c r="AS61" s="497"/>
      <c r="AT61" s="48"/>
      <c r="AU61" s="48" t="str">
        <f t="shared" si="29"/>
        <v/>
      </c>
      <c r="AV61" s="49"/>
      <c r="AW61" s="403"/>
    </row>
    <row r="62" spans="1:49" s="3" customFormat="1" ht="18" customHeight="1" x14ac:dyDescent="0.15">
      <c r="A62" s="402"/>
      <c r="B62" s="161" t="str">
        <f>IF(C62="","",VLOOKUP(WEEKDAY(C62,2),TAB_SEMAINE,2,FALSE))</f>
        <v>Ve</v>
      </c>
      <c r="C62" s="162">
        <f>IF(C60="","",IF(MONTH(C60)&lt;&gt;MONTH(C60+1),"",C60+1))</f>
        <v>44225</v>
      </c>
      <c r="D62" s="47" t="str">
        <f t="shared" si="1"/>
        <v/>
      </c>
      <c r="E62" s="497" t="str">
        <f>IF(B62="","",IF(ISNA(VLOOKUP(C62,TAB_LUNE,2,FALSE)),"",VLOOKUP(C62,TAB_LUNE,2,FALSE)))</f>
        <v/>
      </c>
      <c r="F62" s="48" t="str">
        <f>IF(C62="","",IF(ISNA(VLOOKUP(C62,TAB_FERIES,3,FALSE)),"",VLOOKUP(C62,TAB_FERIES,3,FALSE)))</f>
        <v/>
      </c>
      <c r="G62" s="48">
        <f t="shared" si="24"/>
        <v>29</v>
      </c>
      <c r="H62" s="49" t="str">
        <f>IF(C62="","",IF(MOD(C62-2,7),"",INT((9+C62-MOD(C62-2,7)-DATE(YEAR(3+C62-MOD(C62-2,7)),1,))/7)))</f>
        <v/>
      </c>
      <c r="I62" s="50"/>
      <c r="J62" s="161" t="str">
        <f>IF(K62="","",VLOOKUP(WEEKDAY(K62,2),TAB_SEMAINE,2,FALSE))</f>
        <v/>
      </c>
      <c r="K62" s="162" t="str">
        <f>IF(K60="","",IF(MONTH(K60)&lt;&gt;MONTH(K60+1),"",K60+1))</f>
        <v/>
      </c>
      <c r="L62" s="47" t="str">
        <f t="shared" si="5"/>
        <v/>
      </c>
      <c r="M62" s="497" t="str">
        <f>IF(J62="","",IF(ISNA(VLOOKUP(K62,TAB_LUNE,2,FALSE)),"",VLOOKUP(K62,TAB_LUNE,2,FALSE)))</f>
        <v/>
      </c>
      <c r="N62" s="48" t="str">
        <f>IF(K62="","",IF(ISNA(VLOOKUP(K62,TAB_FERIES,3,FALSE)),"",VLOOKUP(K62,TAB_FERIES,3,FALSE)))</f>
        <v/>
      </c>
      <c r="O62" s="48" t="str">
        <f t="shared" si="25"/>
        <v/>
      </c>
      <c r="P62" s="49" t="str">
        <f>IF(K62="","",IF(MOD(K62-2,7),"",INT((9+K62-MOD(K62-2,7)-DATE(YEAR(3+K62-MOD(K62-2,7)),1,))/7)))</f>
        <v/>
      </c>
      <c r="Q62" s="50"/>
      <c r="R62" s="161" t="str">
        <f>IF(S62="","",VLOOKUP(WEEKDAY(S62,2),TAB_SEMAINE,2,FALSE))</f>
        <v>Lu</v>
      </c>
      <c r="S62" s="162">
        <f>IF(S60="","",IF(MONTH(S60)&lt;&gt;MONTH(S60+1),"",S60+1))</f>
        <v>44284</v>
      </c>
      <c r="T62" s="47" t="str">
        <f t="shared" si="9"/>
        <v/>
      </c>
      <c r="U62" s="497" t="str">
        <f>IF(R62="","",IF(ISNA(VLOOKUP(S62,TAB_LUNE,2,FALSE)),"",VLOOKUP(S62,TAB_LUNE,2,FALSE)))</f>
        <v/>
      </c>
      <c r="V62" s="48" t="str">
        <f>IF(S62="","",IF(ISNA(VLOOKUP(S62,TAB_FERIES,3,FALSE)),"",VLOOKUP(S62,TAB_FERIES,3,FALSE)))</f>
        <v/>
      </c>
      <c r="W62" s="48">
        <f t="shared" si="26"/>
        <v>88</v>
      </c>
      <c r="X62" s="49">
        <f>IF(S62="","",IF(MOD(S62-2,7),"",INT((9+S62-MOD(S62-2,7)-DATE(YEAR(3+S62-MOD(S62-2,7)),1,))/7)))</f>
        <v>13</v>
      </c>
      <c r="Y62" s="50"/>
      <c r="Z62" s="161" t="str">
        <f>IF(AA62="","",VLOOKUP(WEEKDAY(AA62,2),TAB_SEMAINE,2,FALSE))</f>
        <v>Je</v>
      </c>
      <c r="AA62" s="162">
        <f>IF(AA60="","",IF(MONTH(AA60)&lt;&gt;MONTH(AA60+1),"",AA60+1))</f>
        <v>44315</v>
      </c>
      <c r="AB62" s="47" t="str">
        <f t="shared" si="13"/>
        <v/>
      </c>
      <c r="AC62" s="497" t="str">
        <f>IF(Z62="","",IF(ISNA(VLOOKUP(AA62,TAB_LUNE,2,FALSE)),"",VLOOKUP(AA62,TAB_LUNE,2,FALSE)))</f>
        <v/>
      </c>
      <c r="AD62" s="48" t="str">
        <f>IF(AA62="","",IF(ISNA(VLOOKUP(AA62,TAB_FERIES,3,FALSE)),"",VLOOKUP(AA62,TAB_FERIES,3,FALSE)))</f>
        <v/>
      </c>
      <c r="AE62" s="48">
        <f t="shared" si="27"/>
        <v>119</v>
      </c>
      <c r="AF62" s="49" t="str">
        <f>IF(AA62="","",IF(MOD(AA62-2,7),"",INT((9+AA62-MOD(AA62-2,7)-DATE(YEAR(3+AA62-MOD(AA62-2,7)),1,))/7)))</f>
        <v/>
      </c>
      <c r="AG62" s="50"/>
      <c r="AH62" s="161" t="str">
        <f>IF(AI62="","",VLOOKUP(WEEKDAY(AI62,2),TAB_SEMAINE,2,FALSE))</f>
        <v>Sa</v>
      </c>
      <c r="AI62" s="162">
        <f>IF(AI60="","",IF(MONTH(AI60)&lt;&gt;MONTH(AI60+1),"",AI60+1))</f>
        <v>44345</v>
      </c>
      <c r="AJ62" s="47" t="str">
        <f t="shared" si="17"/>
        <v/>
      </c>
      <c r="AK62" s="497" t="str">
        <f>IF(AH62="","",IF(ISNA(VLOOKUP(AI62,TAB_LUNE,2,FALSE)),"",VLOOKUP(AI62,TAB_LUNE,2,FALSE)))</f>
        <v/>
      </c>
      <c r="AL62" s="48" t="str">
        <f>IF(AI62="","",IF(ISNA(VLOOKUP(AI62,TAB_FERIES,3,FALSE)),"",VLOOKUP(AI62,TAB_FERIES,3,FALSE)))</f>
        <v/>
      </c>
      <c r="AM62" s="48">
        <f t="shared" si="28"/>
        <v>149</v>
      </c>
      <c r="AN62" s="49" t="str">
        <f>IF(AI62="","",IF(MOD(AI62-2,7),"",INT((9+AI62-MOD(AI62-2,7)-DATE(YEAR(3+AI62-MOD(AI62-2,7)),1,))/7)))</f>
        <v/>
      </c>
      <c r="AO62" s="50"/>
      <c r="AP62" s="161" t="str">
        <f>IF(AQ62="","",VLOOKUP(WEEKDAY(AQ62,2),TAB_SEMAINE,2,FALSE))</f>
        <v>Ma</v>
      </c>
      <c r="AQ62" s="162">
        <f>IF(AQ60="","",IF(MONTH(AQ60)&lt;&gt;MONTH(AQ60+1),"",AQ60+1))</f>
        <v>44376</v>
      </c>
      <c r="AR62" s="47" t="str">
        <f t="shared" si="21"/>
        <v/>
      </c>
      <c r="AS62" s="497" t="str">
        <f>IF(AP62="","",IF(ISNA(VLOOKUP(AQ62,TAB_LUNE,2,FALSE)),"",VLOOKUP(AQ62,TAB_LUNE,2,FALSE)))</f>
        <v/>
      </c>
      <c r="AT62" s="48" t="str">
        <f>IF(AQ62="","",IF(ISNA(VLOOKUP(AQ62,TAB_FERIES,3,FALSE)),"",VLOOKUP(AQ62,TAB_FERIES,3,FALSE)))</f>
        <v/>
      </c>
      <c r="AU62" s="48">
        <f t="shared" si="29"/>
        <v>180</v>
      </c>
      <c r="AV62" s="49" t="str">
        <f t="shared" si="30"/>
        <v/>
      </c>
      <c r="AW62" s="403"/>
    </row>
    <row r="63" spans="1:49" s="3" customFormat="1" ht="4" customHeight="1" x14ac:dyDescent="0.15">
      <c r="A63" s="402"/>
      <c r="B63" s="161"/>
      <c r="C63" s="162"/>
      <c r="D63" s="47"/>
      <c r="E63" s="497"/>
      <c r="F63" s="48"/>
      <c r="G63" s="48" t="str">
        <f t="shared" si="24"/>
        <v/>
      </c>
      <c r="H63" s="49"/>
      <c r="I63" s="50"/>
      <c r="J63" s="161"/>
      <c r="K63" s="162"/>
      <c r="L63" s="47"/>
      <c r="M63" s="497"/>
      <c r="N63" s="48"/>
      <c r="O63" s="48" t="str">
        <f t="shared" si="25"/>
        <v/>
      </c>
      <c r="P63" s="49"/>
      <c r="Q63" s="50"/>
      <c r="R63" s="161"/>
      <c r="S63" s="162"/>
      <c r="T63" s="47"/>
      <c r="U63" s="497"/>
      <c r="V63" s="48"/>
      <c r="W63" s="48" t="str">
        <f t="shared" si="26"/>
        <v/>
      </c>
      <c r="X63" s="49"/>
      <c r="Y63" s="50"/>
      <c r="Z63" s="161"/>
      <c r="AA63" s="162"/>
      <c r="AB63" s="47"/>
      <c r="AC63" s="497"/>
      <c r="AD63" s="48"/>
      <c r="AE63" s="48" t="str">
        <f t="shared" si="27"/>
        <v/>
      </c>
      <c r="AF63" s="49"/>
      <c r="AG63" s="50"/>
      <c r="AH63" s="161"/>
      <c r="AI63" s="162"/>
      <c r="AJ63" s="47"/>
      <c r="AK63" s="497"/>
      <c r="AL63" s="48"/>
      <c r="AM63" s="48" t="str">
        <f t="shared" si="28"/>
        <v/>
      </c>
      <c r="AN63" s="49"/>
      <c r="AO63" s="50"/>
      <c r="AP63" s="161"/>
      <c r="AQ63" s="162"/>
      <c r="AR63" s="47"/>
      <c r="AS63" s="497"/>
      <c r="AT63" s="48"/>
      <c r="AU63" s="48" t="str">
        <f t="shared" si="29"/>
        <v/>
      </c>
      <c r="AV63" s="49"/>
      <c r="AW63" s="403"/>
    </row>
    <row r="64" spans="1:49" s="3" customFormat="1" ht="18" customHeight="1" x14ac:dyDescent="0.15">
      <c r="A64" s="402"/>
      <c r="B64" s="161" t="str">
        <f>IF(C64="","",VLOOKUP(WEEKDAY(C64,2),TAB_SEMAINE,2,FALSE))</f>
        <v>Sa</v>
      </c>
      <c r="C64" s="162">
        <f>IF(C62="","",IF(MONTH(C62)&lt;&gt;MONTH(C62+1),"",C62+1))</f>
        <v>44226</v>
      </c>
      <c r="D64" s="47" t="str">
        <f t="shared" si="1"/>
        <v/>
      </c>
      <c r="E64" s="497" t="str">
        <f>IF(B64="","",IF(ISNA(VLOOKUP(C64,TAB_LUNE,2,FALSE)),"",VLOOKUP(C64,TAB_LUNE,2,FALSE)))</f>
        <v/>
      </c>
      <c r="F64" s="48" t="str">
        <f>IF(C64="","",IF(ISNA(VLOOKUP(C64,TAB_FERIES,3,FALSE)),"",VLOOKUP(C64,TAB_FERIES,3,FALSE)))</f>
        <v/>
      </c>
      <c r="G64" s="48">
        <f t="shared" si="24"/>
        <v>30</v>
      </c>
      <c r="H64" s="49" t="str">
        <f>IF(C64="","",IF(MOD(C64-2,7),"",INT((9+C64-MOD(C64-2,7)-DATE(YEAR(3+C64-MOD(C64-2,7)),1,))/7)))</f>
        <v/>
      </c>
      <c r="I64" s="50"/>
      <c r="J64" s="161" t="str">
        <f>IF(K64="","",VLOOKUP(WEEKDAY(K64,2),TAB_SEMAINE,2,FALSE))</f>
        <v/>
      </c>
      <c r="K64" s="162" t="str">
        <f>IF(K62="","",IF(MONTH(K62)&lt;&gt;MONTH(K62+1),"",K62+1))</f>
        <v/>
      </c>
      <c r="L64" s="47" t="str">
        <f t="shared" si="5"/>
        <v/>
      </c>
      <c r="M64" s="497" t="str">
        <f>IF(J64="","",IF(ISNA(VLOOKUP(K64,TAB_LUNE,2,FALSE)),"",VLOOKUP(K64,TAB_LUNE,2,FALSE)))</f>
        <v/>
      </c>
      <c r="N64" s="48" t="str">
        <f>IF(K64="","",IF(ISNA(VLOOKUP(K64,TAB_FERIES,3,FALSE)),"",VLOOKUP(K64,TAB_FERIES,3,FALSE)))</f>
        <v/>
      </c>
      <c r="O64" s="48" t="str">
        <f t="shared" si="25"/>
        <v/>
      </c>
      <c r="P64" s="49" t="str">
        <f>IF(K64="","",IF(MOD(K64-2,7),"",INT((9+K64-MOD(K64-2,7)-DATE(YEAR(3+K64-MOD(K64-2,7)),1,))/7)))</f>
        <v/>
      </c>
      <c r="Q64" s="50"/>
      <c r="R64" s="161" t="str">
        <f>IF(S64="","",VLOOKUP(WEEKDAY(S64,2),TAB_SEMAINE,2,FALSE))</f>
        <v>Ma</v>
      </c>
      <c r="S64" s="162">
        <f>IF(S62="","",IF(MONTH(S62)&lt;&gt;MONTH(S62+1),"",S62+1))</f>
        <v>44285</v>
      </c>
      <c r="T64" s="47" t="str">
        <f t="shared" si="9"/>
        <v/>
      </c>
      <c r="U64" s="497" t="str">
        <f>IF(R64="","",IF(ISNA(VLOOKUP(S64,TAB_LUNE,2,FALSE)),"",VLOOKUP(S64,TAB_LUNE,2,FALSE)))</f>
        <v/>
      </c>
      <c r="V64" s="48" t="str">
        <f>IF(S64="","",IF(ISNA(VLOOKUP(S64,TAB_FERIES,3,FALSE)),"",VLOOKUP(S64,TAB_FERIES,3,FALSE)))</f>
        <v/>
      </c>
      <c r="W64" s="48">
        <f t="shared" si="26"/>
        <v>89</v>
      </c>
      <c r="X64" s="49" t="str">
        <f>IF(S64="","",IF(MOD(S64-2,7),"",INT((9+S64-MOD(S64-2,7)-DATE(YEAR(3+S64-MOD(S64-2,7)),1,))/7)))</f>
        <v/>
      </c>
      <c r="Y64" s="50"/>
      <c r="Z64" s="161" t="str">
        <f>IF(AA64="","",VLOOKUP(WEEKDAY(AA64,2),TAB_SEMAINE,2,FALSE))</f>
        <v>Ve</v>
      </c>
      <c r="AA64" s="162">
        <f>IF(AA62="","",IF(MONTH(AA62)&lt;&gt;MONTH(AA62+1),"",AA62+1))</f>
        <v>44316</v>
      </c>
      <c r="AB64" s="47" t="str">
        <f t="shared" si="13"/>
        <v/>
      </c>
      <c r="AC64" s="497" t="str">
        <f>IF(Z64="","",IF(ISNA(VLOOKUP(AA64,TAB_LUNE,2,FALSE)),"",VLOOKUP(AA64,TAB_LUNE,2,FALSE)))</f>
        <v/>
      </c>
      <c r="AD64" s="48" t="str">
        <f>IF(AA64="","",IF(ISNA(VLOOKUP(AA64,TAB_FERIES,3,FALSE)),"",VLOOKUP(AA64,TAB_FERIES,3,FALSE)))</f>
        <v/>
      </c>
      <c r="AE64" s="48">
        <f t="shared" si="27"/>
        <v>120</v>
      </c>
      <c r="AF64" s="49" t="str">
        <f>IF(AA64="","",IF(MOD(AA64-2,7),"",INT((9+AA64-MOD(AA64-2,7)-DATE(YEAR(3+AA64-MOD(AA64-2,7)),1,))/7)))</f>
        <v/>
      </c>
      <c r="AG64" s="50"/>
      <c r="AH64" s="161" t="str">
        <f>IF(AI64="","",VLOOKUP(WEEKDAY(AI64,2),TAB_SEMAINE,2,FALSE))</f>
        <v>Di</v>
      </c>
      <c r="AI64" s="162">
        <f>IF(AI62="","",IF(MONTH(AI62)&lt;&gt;MONTH(AI62+1),"",AI62+1))</f>
        <v>44346</v>
      </c>
      <c r="AJ64" s="47" t="str">
        <f t="shared" si="17"/>
        <v/>
      </c>
      <c r="AK64" s="497" t="str">
        <f>IF(AH64="","",IF(ISNA(VLOOKUP(AI64,TAB_LUNE,2,FALSE)),"",VLOOKUP(AI64,TAB_LUNE,2,FALSE)))</f>
        <v/>
      </c>
      <c r="AL64" s="48" t="str">
        <f>IF(AI64="","",IF(ISNA(VLOOKUP(AI64,TAB_FERIES,3,FALSE)),"",VLOOKUP(AI64,TAB_FERIES,3,FALSE)))</f>
        <v/>
      </c>
      <c r="AM64" s="48">
        <f t="shared" si="28"/>
        <v>150</v>
      </c>
      <c r="AN64" s="49" t="str">
        <f>IF(AI64="","",IF(MOD(AI64-2,7),"",INT((9+AI64-MOD(AI64-2,7)-DATE(YEAR(3+AI64-MOD(AI64-2,7)),1,))/7)))</f>
        <v/>
      </c>
      <c r="AO64" s="50"/>
      <c r="AP64" s="161" t="str">
        <f>IF(AQ64="","",VLOOKUP(WEEKDAY(AQ64,2),TAB_SEMAINE,2,FALSE))</f>
        <v>Me</v>
      </c>
      <c r="AQ64" s="162">
        <f>IF(AQ62="","",IF(MONTH(AQ62)&lt;&gt;MONTH(AQ62+1),"",AQ62+1))</f>
        <v>44377</v>
      </c>
      <c r="AR64" s="47" t="str">
        <f t="shared" si="21"/>
        <v/>
      </c>
      <c r="AS64" s="497" t="str">
        <f>IF(AP64="","",IF(ISNA(VLOOKUP(AQ64,TAB_LUNE,2,FALSE)),"",VLOOKUP(AQ64,TAB_LUNE,2,FALSE)))</f>
        <v/>
      </c>
      <c r="AT64" s="48" t="str">
        <f>IF(AQ64="","",IF(ISNA(VLOOKUP(AQ64,TAB_FERIES,3,FALSE)),"",VLOOKUP(AQ64,TAB_FERIES,3,FALSE)))</f>
        <v/>
      </c>
      <c r="AU64" s="48">
        <f t="shared" si="29"/>
        <v>181</v>
      </c>
      <c r="AV64" s="49" t="str">
        <f t="shared" si="30"/>
        <v/>
      </c>
      <c r="AW64" s="403"/>
    </row>
    <row r="65" spans="1:49" s="3" customFormat="1" ht="4" customHeight="1" x14ac:dyDescent="0.15">
      <c r="A65" s="402"/>
      <c r="B65" s="161"/>
      <c r="C65" s="162"/>
      <c r="D65" s="47"/>
      <c r="E65" s="497"/>
      <c r="F65" s="48"/>
      <c r="G65" s="48" t="str">
        <f t="shared" si="24"/>
        <v/>
      </c>
      <c r="H65" s="49"/>
      <c r="I65" s="50"/>
      <c r="J65" s="161"/>
      <c r="K65" s="162"/>
      <c r="L65" s="47"/>
      <c r="M65" s="497"/>
      <c r="N65" s="48"/>
      <c r="O65" s="48" t="str">
        <f t="shared" si="25"/>
        <v/>
      </c>
      <c r="P65" s="49"/>
      <c r="Q65" s="50"/>
      <c r="R65" s="161"/>
      <c r="S65" s="162"/>
      <c r="T65" s="47"/>
      <c r="U65" s="497"/>
      <c r="V65" s="48"/>
      <c r="W65" s="48" t="str">
        <f t="shared" si="26"/>
        <v/>
      </c>
      <c r="X65" s="49"/>
      <c r="Y65" s="50"/>
      <c r="Z65" s="161"/>
      <c r="AA65" s="162"/>
      <c r="AB65" s="47"/>
      <c r="AC65" s="497"/>
      <c r="AD65" s="48"/>
      <c r="AE65" s="48" t="str">
        <f t="shared" si="27"/>
        <v/>
      </c>
      <c r="AF65" s="49"/>
      <c r="AG65" s="50"/>
      <c r="AH65" s="161"/>
      <c r="AI65" s="162"/>
      <c r="AJ65" s="47"/>
      <c r="AK65" s="497"/>
      <c r="AL65" s="48"/>
      <c r="AM65" s="48" t="str">
        <f t="shared" si="28"/>
        <v/>
      </c>
      <c r="AN65" s="49"/>
      <c r="AO65" s="50"/>
      <c r="AP65" s="161"/>
      <c r="AQ65" s="162"/>
      <c r="AR65" s="47"/>
      <c r="AS65" s="497"/>
      <c r="AT65" s="48"/>
      <c r="AU65" s="48" t="str">
        <f t="shared" si="29"/>
        <v/>
      </c>
      <c r="AV65" s="49"/>
      <c r="AW65" s="403"/>
    </row>
    <row r="66" spans="1:49" s="3" customFormat="1" ht="18" customHeight="1" x14ac:dyDescent="0.15">
      <c r="A66" s="402"/>
      <c r="B66" s="161" t="str">
        <f>IF(C66="","",VLOOKUP(WEEKDAY(C66,2),TAB_SEMAINE,2,FALSE))</f>
        <v>Di</v>
      </c>
      <c r="C66" s="162">
        <f>IF(C64="","",IF(MONTH(C64)&lt;&gt;MONTH(C64+1),"",C64+1))</f>
        <v>44227</v>
      </c>
      <c r="D66" s="47" t="str">
        <f t="shared" si="1"/>
        <v/>
      </c>
      <c r="E66" s="497" t="str">
        <f>IF(B66="","",IF(ISNA(VLOOKUP(C66,TAB_LUNE,2,FALSE)),"",VLOOKUP(C66,TAB_LUNE,2,FALSE)))</f>
        <v/>
      </c>
      <c r="F66" s="48" t="str">
        <f>IF(C66="","",IF(ISNA(VLOOKUP(C66,TAB_FERIES,3,FALSE)),"",VLOOKUP(C66,TAB_FERIES,3,FALSE)))</f>
        <v/>
      </c>
      <c r="G66" s="48">
        <f t="shared" si="24"/>
        <v>31</v>
      </c>
      <c r="H66" s="49" t="str">
        <f>IF(C66="","",IF(MOD(C66-2,7),"",INT((9+C66-MOD(C66-2,7)-DATE(YEAR(3+C66-MOD(C66-2,7)),1,))/7)))</f>
        <v/>
      </c>
      <c r="I66" s="50"/>
      <c r="J66" s="161" t="str">
        <f>IF(K66="","",VLOOKUP(WEEKDAY(K66,2),TAB_SEMAINE,2,FALSE))</f>
        <v/>
      </c>
      <c r="K66" s="162" t="str">
        <f>IF(K64="","",IF(MONTH(K64)&lt;&gt;MONTH(K64+1),"",K64+1))</f>
        <v/>
      </c>
      <c r="L66" s="47" t="str">
        <f t="shared" si="5"/>
        <v/>
      </c>
      <c r="M66" s="497" t="str">
        <f>IF(J66="","",IF(ISNA(VLOOKUP(K66,TAB_LUNE,2,FALSE)),"",VLOOKUP(K66,TAB_LUNE,2,FALSE)))</f>
        <v/>
      </c>
      <c r="N66" s="48" t="str">
        <f>IF(K66="","",IF(ISNA(VLOOKUP(K66,TAB_FERIES,3,FALSE)),"",VLOOKUP(K66,TAB_FERIES,3,FALSE)))</f>
        <v/>
      </c>
      <c r="O66" s="48" t="str">
        <f t="shared" si="25"/>
        <v/>
      </c>
      <c r="P66" s="49" t="str">
        <f>IF(K66="","",IF(MOD(K66-2,7),"",INT((9+K66-MOD(K66-2,7)-DATE(YEAR(3+K66-MOD(K66-2,7)),1,))/7)))</f>
        <v/>
      </c>
      <c r="Q66" s="50"/>
      <c r="R66" s="161" t="str">
        <f>IF(S66="","",VLOOKUP(WEEKDAY(S66,2),TAB_SEMAINE,2,FALSE))</f>
        <v>Me</v>
      </c>
      <c r="S66" s="162">
        <f>IF(S64="","",IF(MONTH(S64)&lt;&gt;MONTH(S64+1),"",S64+1))</f>
        <v>44286</v>
      </c>
      <c r="T66" s="47" t="str">
        <f t="shared" si="9"/>
        <v/>
      </c>
      <c r="U66" s="497" t="str">
        <f>IF(R66="","",IF(ISNA(VLOOKUP(S66,TAB_LUNE,2,FALSE)),"",VLOOKUP(S66,TAB_LUNE,2,FALSE)))</f>
        <v/>
      </c>
      <c r="V66" s="48" t="str">
        <f>IF(S66="","",IF(ISNA(VLOOKUP(S66,TAB_FERIES,3,FALSE)),"",VLOOKUP(S66,TAB_FERIES,3,FALSE)))</f>
        <v/>
      </c>
      <c r="W66" s="48">
        <f t="shared" si="26"/>
        <v>90</v>
      </c>
      <c r="X66" s="49" t="str">
        <f>IF(S66="","",IF(MOD(S66-2,7),"",INT((9+S66-MOD(S66-2,7)-DATE(YEAR(3+S66-MOD(S66-2,7)),1,))/7)))</f>
        <v/>
      </c>
      <c r="Y66" s="50"/>
      <c r="Z66" s="161" t="str">
        <f>IF(AA66="","",VLOOKUP(WEEKDAY(AA66,2),TAB_SEMAINE,2,FALSE))</f>
        <v/>
      </c>
      <c r="AA66" s="162" t="str">
        <f>IF(AA64="","",IF(MONTH(AA64)&lt;&gt;MONTH(AA64+1),"",AA64+1))</f>
        <v/>
      </c>
      <c r="AB66" s="47" t="str">
        <f t="shared" si="13"/>
        <v/>
      </c>
      <c r="AC66" s="497" t="str">
        <f>IF(Z66="","",IF(ISNA(VLOOKUP(AA66,TAB_LUNE,2,FALSE)),"",VLOOKUP(AA66,TAB_LUNE,2,FALSE)))</f>
        <v/>
      </c>
      <c r="AD66" s="48" t="str">
        <f>IF(AA66="","",IF(ISNA(VLOOKUP(AA66,TAB_FERIES,3,FALSE)),"",VLOOKUP(AA66,TAB_FERIES,3,FALSE)))</f>
        <v/>
      </c>
      <c r="AE66" s="48" t="str">
        <f t="shared" si="27"/>
        <v/>
      </c>
      <c r="AF66" s="49" t="str">
        <f>IF(AA66="","",IF(MOD(AA66-2,7),"",INT((9+AA66-MOD(AA66-2,7)-DATE(YEAR(3+AA66-MOD(AA66-2,7)),1,))/7)))</f>
        <v/>
      </c>
      <c r="AG66" s="50"/>
      <c r="AH66" s="161" t="str">
        <f>IF(AI66="","",VLOOKUP(WEEKDAY(AI66,2),TAB_SEMAINE,2,FALSE))</f>
        <v>Lu</v>
      </c>
      <c r="AI66" s="162">
        <f>IF(AI64="","",IF(MONTH(AI64)&lt;&gt;MONTH(AI64+1),"",AI64+1))</f>
        <v>44347</v>
      </c>
      <c r="AJ66" s="47" t="str">
        <f t="shared" si="17"/>
        <v/>
      </c>
      <c r="AK66" s="497" t="str">
        <f>IF(AH66="","",IF(ISNA(VLOOKUP(AI66,TAB_LUNE,2,FALSE)),"",VLOOKUP(AI66,TAB_LUNE,2,FALSE)))</f>
        <v/>
      </c>
      <c r="AL66" s="48" t="str">
        <f>IF(AI66="","",IF(ISNA(VLOOKUP(AI66,TAB_FERIES,3,FALSE)),"",VLOOKUP(AI66,TAB_FERIES,3,FALSE)))</f>
        <v/>
      </c>
      <c r="AM66" s="48">
        <f t="shared" si="28"/>
        <v>151</v>
      </c>
      <c r="AN66" s="49">
        <f>IF(AI66="","",IF(MOD(AI66-2,7),"",INT((9+AI66-MOD(AI66-2,7)-DATE(YEAR(3+AI66-MOD(AI66-2,7)),1,))/7)))</f>
        <v>22</v>
      </c>
      <c r="AO66" s="50"/>
      <c r="AP66" s="161" t="str">
        <f>IF(AQ66="","",VLOOKUP(WEEKDAY(AQ66,2),TAB_SEMAINE,2,FALSE))</f>
        <v/>
      </c>
      <c r="AQ66" s="162" t="str">
        <f>IF(AQ64="","",IF(MONTH(AQ64)&lt;&gt;MONTH(AQ64+1),"",AQ64+1))</f>
        <v/>
      </c>
      <c r="AR66" s="47" t="str">
        <f t="shared" si="21"/>
        <v/>
      </c>
      <c r="AS66" s="497" t="str">
        <f>IF(AP66="","",IF(ISNA(VLOOKUP(AQ66,TAB_LUNE,2,FALSE)),"",VLOOKUP(AQ66,TAB_LUNE,2,FALSE)))</f>
        <v/>
      </c>
      <c r="AT66" s="48" t="str">
        <f>IF(AQ66="","",IF(ISNA(VLOOKUP(AQ66,TAB_FERIES,3,FALSE)),"",VLOOKUP(AQ66,TAB_FERIES,3,FALSE)))</f>
        <v/>
      </c>
      <c r="AU66" s="48" t="str">
        <f t="shared" si="29"/>
        <v/>
      </c>
      <c r="AV66" s="49" t="str">
        <f t="shared" si="30"/>
        <v/>
      </c>
      <c r="AW66" s="403"/>
    </row>
    <row r="67" spans="1:49" s="3" customFormat="1" ht="4" customHeight="1" x14ac:dyDescent="0.15">
      <c r="A67" s="402"/>
      <c r="B67" s="45"/>
      <c r="C67" s="46"/>
      <c r="D67" s="47"/>
      <c r="E67" s="497"/>
      <c r="F67" s="48"/>
      <c r="G67" s="48"/>
      <c r="H67" s="51"/>
      <c r="I67" s="50"/>
      <c r="J67" s="45"/>
      <c r="K67" s="46"/>
      <c r="L67" s="47"/>
      <c r="M67" s="497"/>
      <c r="N67" s="48"/>
      <c r="O67" s="48"/>
      <c r="P67" s="51"/>
      <c r="Q67" s="50"/>
      <c r="R67" s="161"/>
      <c r="S67" s="162"/>
      <c r="T67" s="47"/>
      <c r="U67" s="497"/>
      <c r="V67" s="48"/>
      <c r="W67" s="48"/>
      <c r="X67" s="51"/>
      <c r="Y67" s="50"/>
      <c r="Z67" s="45"/>
      <c r="AA67" s="46"/>
      <c r="AB67" s="47"/>
      <c r="AC67" s="497"/>
      <c r="AD67" s="48"/>
      <c r="AE67" s="48"/>
      <c r="AF67" s="51"/>
      <c r="AG67" s="50"/>
      <c r="AH67" s="45"/>
      <c r="AI67" s="46"/>
      <c r="AJ67" s="47"/>
      <c r="AK67" s="497"/>
      <c r="AL67" s="48"/>
      <c r="AM67" s="48"/>
      <c r="AN67" s="51"/>
      <c r="AO67" s="50"/>
      <c r="AP67" s="45"/>
      <c r="AQ67" s="46"/>
      <c r="AR67" s="47"/>
      <c r="AS67" s="497"/>
      <c r="AT67" s="48"/>
      <c r="AU67" s="48"/>
      <c r="AV67" s="51"/>
      <c r="AW67" s="403"/>
    </row>
    <row r="68" spans="1:49" s="30" customFormat="1" ht="13" x14ac:dyDescent="0.15">
      <c r="A68" s="404"/>
      <c r="B68" s="52"/>
      <c r="C68" s="53"/>
      <c r="D68" s="53"/>
      <c r="E68" s="498"/>
      <c r="F68" s="54"/>
      <c r="G68" s="54"/>
      <c r="H68" s="55" t="str">
        <f>CONCATENATE(NETWORKDAYS.INTL(C6,MAX(C60:C66),,Ref_non_ouvrables)," jours ouvrables")</f>
        <v>20 jours ouvrables</v>
      </c>
      <c r="I68" s="52"/>
      <c r="J68" s="52"/>
      <c r="K68" s="53"/>
      <c r="L68" s="53"/>
      <c r="M68" s="498"/>
      <c r="N68" s="54"/>
      <c r="O68" s="54"/>
      <c r="P68" s="55" t="str">
        <f>CONCATENATE(NETWORKDAYS.INTL(K6,MAX(K60:K66),,Ref_non_ouvrables)," jours ouvrables")</f>
        <v>20 jours ouvrables</v>
      </c>
      <c r="Q68" s="52"/>
      <c r="R68" s="163"/>
      <c r="S68" s="164"/>
      <c r="T68" s="53"/>
      <c r="U68" s="498"/>
      <c r="V68" s="54"/>
      <c r="W68" s="54"/>
      <c r="X68" s="55" t="str">
        <f>CONCATENATE(NETWORKDAYS.INTL(S6,MAX(S60:S66),,Ref_non_ouvrables)," jours ouvrables")</f>
        <v>23 jours ouvrables</v>
      </c>
      <c r="Y68" s="52"/>
      <c r="Z68" s="52"/>
      <c r="AA68" s="53"/>
      <c r="AB68" s="53"/>
      <c r="AC68" s="498"/>
      <c r="AD68" s="54"/>
      <c r="AE68" s="54"/>
      <c r="AF68" s="55" t="str">
        <f>CONCATENATE(NETWORKDAYS.INTL(AA6,MAX(AA60:AA66),,Ref_non_ouvrables)," jours ouvrables")</f>
        <v>21 jours ouvrables</v>
      </c>
      <c r="AG68" s="52"/>
      <c r="AH68" s="52"/>
      <c r="AI68" s="53"/>
      <c r="AJ68" s="53"/>
      <c r="AK68" s="498"/>
      <c r="AL68" s="54"/>
      <c r="AM68" s="54"/>
      <c r="AN68" s="55" t="str">
        <f>CONCATENATE(NETWORKDAYS.INTL(AI6,MAX(AI60:AI66),,Ref_non_ouvrables)," jours ouvrables")</f>
        <v>19 jours ouvrables</v>
      </c>
      <c r="AO68" s="52"/>
      <c r="AP68" s="52"/>
      <c r="AQ68" s="53"/>
      <c r="AR68" s="53"/>
      <c r="AS68" s="498"/>
      <c r="AT68" s="54"/>
      <c r="AU68" s="54"/>
      <c r="AV68" s="55" t="str">
        <f>CONCATENATE(NETWORKDAYS.INTL(AQ6,MAX(AQ60:AQ66),,Ref_non_ouvrables)," jours ouvrables")</f>
        <v>22 jours ouvrables</v>
      </c>
      <c r="AW68" s="405"/>
    </row>
    <row r="69" spans="1:49" s="3" customFormat="1" ht="14" customHeight="1" x14ac:dyDescent="0.15">
      <c r="A69" s="411"/>
      <c r="B69" s="412"/>
      <c r="C69" s="413"/>
      <c r="D69" s="414"/>
      <c r="E69" s="499"/>
      <c r="F69" s="409"/>
      <c r="G69" s="409"/>
      <c r="H69" s="415"/>
      <c r="I69" s="416"/>
      <c r="J69" s="412"/>
      <c r="K69" s="413"/>
      <c r="L69" s="414"/>
      <c r="M69" s="499"/>
      <c r="N69" s="409"/>
      <c r="O69" s="409"/>
      <c r="P69" s="415"/>
      <c r="Q69" s="416"/>
      <c r="R69" s="412"/>
      <c r="S69" s="413"/>
      <c r="T69" s="414"/>
      <c r="U69" s="499"/>
      <c r="V69" s="409"/>
      <c r="W69" s="409"/>
      <c r="X69" s="415"/>
      <c r="Y69" s="416"/>
      <c r="Z69" s="412"/>
      <c r="AA69" s="413"/>
      <c r="AB69" s="414"/>
      <c r="AC69" s="499"/>
      <c r="AD69" s="409"/>
      <c r="AE69" s="409"/>
      <c r="AF69" s="415"/>
      <c r="AG69" s="416"/>
      <c r="AH69" s="412"/>
      <c r="AI69" s="413"/>
      <c r="AJ69" s="414"/>
      <c r="AK69" s="499"/>
      <c r="AL69" s="409"/>
      <c r="AM69" s="409"/>
      <c r="AN69" s="415"/>
      <c r="AO69" s="416"/>
      <c r="AP69" s="412"/>
      <c r="AQ69" s="413"/>
      <c r="AR69" s="414"/>
      <c r="AS69" s="499"/>
      <c r="AT69" s="409"/>
      <c r="AU69" s="409"/>
      <c r="AV69" s="415"/>
      <c r="AW69" s="417"/>
    </row>
    <row r="70" spans="1:49" s="3" customFormat="1" ht="10" hidden="1" customHeight="1" thickBot="1" x14ac:dyDescent="0.2">
      <c r="A70" s="402"/>
      <c r="B70" s="45"/>
      <c r="C70" s="46"/>
      <c r="D70" s="47"/>
      <c r="E70" s="497"/>
      <c r="F70" s="48"/>
      <c r="G70" s="48"/>
      <c r="H70" s="51"/>
      <c r="I70" s="50"/>
      <c r="J70" s="45"/>
      <c r="K70" s="46"/>
      <c r="L70" s="47"/>
      <c r="M70" s="497"/>
      <c r="N70" s="48"/>
      <c r="O70" s="48"/>
      <c r="P70" s="51"/>
      <c r="Q70" s="50"/>
      <c r="R70" s="45"/>
      <c r="S70" s="46"/>
      <c r="T70" s="47"/>
      <c r="U70" s="497"/>
      <c r="V70" s="48"/>
      <c r="W70" s="48"/>
      <c r="X70" s="51"/>
      <c r="Y70" s="50"/>
      <c r="Z70" s="45"/>
      <c r="AA70" s="46"/>
      <c r="AB70" s="47"/>
      <c r="AC70" s="497"/>
      <c r="AD70" s="48"/>
      <c r="AE70" s="48"/>
      <c r="AF70" s="51"/>
      <c r="AG70" s="50"/>
      <c r="AH70" s="45"/>
      <c r="AI70" s="46"/>
      <c r="AJ70" s="47"/>
      <c r="AK70" s="497"/>
      <c r="AL70" s="48"/>
      <c r="AM70" s="48"/>
      <c r="AN70" s="51"/>
      <c r="AO70" s="50"/>
      <c r="AP70" s="45"/>
      <c r="AQ70" s="46"/>
      <c r="AR70" s="47"/>
      <c r="AS70" s="497"/>
      <c r="AT70" s="48"/>
      <c r="AU70" s="48"/>
      <c r="AV70" s="51"/>
      <c r="AW70" s="403"/>
    </row>
    <row r="71" spans="1:49" ht="24" customHeight="1" thickBot="1" x14ac:dyDescent="0.2">
      <c r="A71" s="119"/>
      <c r="B71" s="526" t="str">
        <f>IF(Calculs!$C$90&lt;&gt;Calculs!$C$91,UPPER(TEXT(C73,"mmmm aa")),UPPER(TEXT(C73,"mmmm")))</f>
        <v>JUILLET</v>
      </c>
      <c r="C71" s="527"/>
      <c r="D71" s="527"/>
      <c r="E71" s="527"/>
      <c r="F71" s="527"/>
      <c r="G71" s="374" t="s">
        <v>26</v>
      </c>
      <c r="H71" s="375" t="s">
        <v>25</v>
      </c>
      <c r="I71" s="40"/>
      <c r="J71" s="526" t="str">
        <f>IF(Calculs!$C$90&lt;&gt;Calculs!$C$91,UPPER(TEXT(K73,"mmmm aa")),UPPER(TEXT(K73,"mmmm")))</f>
        <v>AOÛT</v>
      </c>
      <c r="K71" s="527"/>
      <c r="L71" s="527"/>
      <c r="M71" s="527"/>
      <c r="N71" s="527"/>
      <c r="O71" s="374" t="s">
        <v>26</v>
      </c>
      <c r="P71" s="375" t="s">
        <v>25</v>
      </c>
      <c r="Q71" s="40"/>
      <c r="R71" s="526" t="str">
        <f>IF(Calculs!$C$90&lt;&gt;Calculs!$C$91,UPPER(TEXT(S73,"mmmm aa")),UPPER(TEXT(S73,"mmmm")))</f>
        <v>SEPTEMBRE</v>
      </c>
      <c r="S71" s="527"/>
      <c r="T71" s="527"/>
      <c r="U71" s="527"/>
      <c r="V71" s="527"/>
      <c r="W71" s="374" t="s">
        <v>26</v>
      </c>
      <c r="X71" s="375" t="s">
        <v>25</v>
      </c>
      <c r="Y71" s="40"/>
      <c r="Z71" s="526" t="str">
        <f>IF(Calculs!$C$90&lt;&gt;Calculs!$C$91,UPPER(TEXT(AA73,"mmmm aa")),UPPER(TEXT(AA73,"mmmm")))</f>
        <v>OCTOBRE</v>
      </c>
      <c r="AA71" s="527"/>
      <c r="AB71" s="527"/>
      <c r="AC71" s="527"/>
      <c r="AD71" s="527"/>
      <c r="AE71" s="374" t="s">
        <v>26</v>
      </c>
      <c r="AF71" s="375" t="s">
        <v>25</v>
      </c>
      <c r="AG71" s="40"/>
      <c r="AH71" s="526" t="str">
        <f>IF(Calculs!$C$90&lt;&gt;Calculs!$C$91,UPPER(TEXT(AI73,"mmmm aa")),UPPER(TEXT(AI73,"mmmm")))</f>
        <v>NOVEMBRE</v>
      </c>
      <c r="AI71" s="527"/>
      <c r="AJ71" s="527"/>
      <c r="AK71" s="527"/>
      <c r="AL71" s="527"/>
      <c r="AM71" s="374" t="s">
        <v>26</v>
      </c>
      <c r="AN71" s="375" t="s">
        <v>25</v>
      </c>
      <c r="AO71" s="56"/>
      <c r="AP71" s="526" t="str">
        <f>IF(Calculs!$C$90&lt;&gt;Calculs!$C$91,UPPER(TEXT(AQ73,"mmmm aa")),UPPER(TEXT(AQ73,"mmmm")))</f>
        <v>DÉCEMBRE</v>
      </c>
      <c r="AQ71" s="527"/>
      <c r="AR71" s="527"/>
      <c r="AS71" s="527"/>
      <c r="AT71" s="527"/>
      <c r="AU71" s="374" t="s">
        <v>26</v>
      </c>
      <c r="AV71" s="375" t="s">
        <v>25</v>
      </c>
      <c r="AW71" s="126"/>
    </row>
    <row r="72" spans="1:49" ht="7" customHeight="1" x14ac:dyDescent="0.15">
      <c r="A72" s="119"/>
      <c r="B72" s="41"/>
      <c r="C72" s="41"/>
      <c r="D72" s="41"/>
      <c r="E72" s="496"/>
      <c r="F72" s="41"/>
      <c r="G72" s="41"/>
      <c r="H72" s="42"/>
      <c r="I72" s="43"/>
      <c r="J72" s="41"/>
      <c r="K72" s="41"/>
      <c r="L72" s="41"/>
      <c r="M72" s="496"/>
      <c r="N72" s="41"/>
      <c r="O72" s="41"/>
      <c r="P72" s="42"/>
      <c r="Q72" s="43"/>
      <c r="R72" s="41"/>
      <c r="S72" s="41"/>
      <c r="T72" s="41"/>
      <c r="U72" s="496"/>
      <c r="V72" s="41"/>
      <c r="W72" s="41"/>
      <c r="X72" s="42"/>
      <c r="Y72" s="43"/>
      <c r="Z72" s="41"/>
      <c r="AA72" s="41"/>
      <c r="AB72" s="41"/>
      <c r="AC72" s="496"/>
      <c r="AD72" s="41"/>
      <c r="AE72" s="41"/>
      <c r="AF72" s="42"/>
      <c r="AG72" s="43"/>
      <c r="AH72" s="41"/>
      <c r="AI72" s="41"/>
      <c r="AJ72" s="41"/>
      <c r="AK72" s="496"/>
      <c r="AL72" s="41"/>
      <c r="AM72" s="41"/>
      <c r="AN72" s="42"/>
      <c r="AO72" s="48"/>
      <c r="AP72" s="41"/>
      <c r="AQ72" s="41"/>
      <c r="AR72" s="41"/>
      <c r="AS72" s="496"/>
      <c r="AT72" s="41"/>
      <c r="AU72" s="41"/>
      <c r="AV72" s="42"/>
      <c r="AW72" s="126"/>
    </row>
    <row r="73" spans="1:49" s="3" customFormat="1" ht="18" customHeight="1" x14ac:dyDescent="0.15">
      <c r="A73" s="402"/>
      <c r="B73" s="161" t="str">
        <f t="shared" ref="B73:B127" si="31">VLOOKUP(WEEKDAY(C73,2),TAB_SEMAINE,2,FALSE)</f>
        <v>Je</v>
      </c>
      <c r="C73" s="162">
        <f>DATE(YEAR(AQ6),MONTH(AQ6)+1,1)</f>
        <v>44378</v>
      </c>
      <c r="D73" s="47" t="str">
        <f t="shared" ref="D73:D133" si="32">IF(ISNA(VLOOKUP(C73,TAB_FERIES,4,FALSE)),"",VLOOKUP(C73,TAB_FERIES,4,FALSE))</f>
        <v/>
      </c>
      <c r="E73" s="497" t="str">
        <f t="shared" ref="E73:E127" si="33">IF(ISNA(VLOOKUP(C73,TAB_LUNE,2,FALSE)),"",VLOOKUP(C73,TAB_LUNE,2,FALSE))</f>
        <v>🌗</v>
      </c>
      <c r="F73" s="48" t="str">
        <f t="shared" ref="F73:F127" si="34">IF(ISNA(VLOOKUP(C73,TAB_FERIES,3,FALSE)),"",VLOOKUP(C73,TAB_FERIES,3,FALSE))</f>
        <v/>
      </c>
      <c r="G73" s="48">
        <f>IF(B73="","",C73-DATE(YEAR(C73),1,0))</f>
        <v>182</v>
      </c>
      <c r="H73" s="49">
        <f>INT((9+C73-MOD(C73-2,7)-DATE(YEAR(3+C73-MOD(C73-2,7)),1,))/7)</f>
        <v>26</v>
      </c>
      <c r="I73" s="50"/>
      <c r="J73" s="161" t="str">
        <f t="shared" ref="J73:J127" si="35">VLOOKUP(WEEKDAY(K73,2),TAB_SEMAINE,2,FALSE)</f>
        <v>Di</v>
      </c>
      <c r="K73" s="162">
        <f>DATE(YEAR(K6),MONTH(K6)+6,1)</f>
        <v>44409</v>
      </c>
      <c r="L73" s="47" t="str">
        <f t="shared" ref="L73:L133" si="36">IF(ISNA(VLOOKUP(K73,TAB_FERIES,4,FALSE)),"",VLOOKUP(K73,TAB_FERIES,4,FALSE))</f>
        <v/>
      </c>
      <c r="M73" s="497" t="str">
        <f t="shared" ref="M73:M127" si="37">IF(ISNA(VLOOKUP(K73,TAB_LUNE,2,FALSE)),"",VLOOKUP(K73,TAB_LUNE,2,FALSE))</f>
        <v/>
      </c>
      <c r="N73" s="48" t="str">
        <f t="shared" ref="N73:N127" si="38">IF(ISNA(VLOOKUP(K73,TAB_FERIES,3,FALSE)),"",VLOOKUP(K73,TAB_FERIES,3,FALSE))</f>
        <v/>
      </c>
      <c r="O73" s="48">
        <f>IF(J73="","",K73-DATE(YEAR(K73),1,0))</f>
        <v>213</v>
      </c>
      <c r="P73" s="49">
        <f>INT((9+K73-MOD(K73-2,7)-DATE(YEAR(3+K73-MOD(K73-2,7)),1,))/7)</f>
        <v>30</v>
      </c>
      <c r="Q73" s="50"/>
      <c r="R73" s="161" t="str">
        <f t="shared" ref="R73:R127" si="39">VLOOKUP(WEEKDAY(S73,2),TAB_SEMAINE,2,FALSE)</f>
        <v>Me</v>
      </c>
      <c r="S73" s="162">
        <f>DATE(YEAR(S6),MONTH(S6)+6,1)</f>
        <v>44440</v>
      </c>
      <c r="T73" s="47" t="str">
        <f t="shared" ref="T73:T133" si="40">IF(ISNA(VLOOKUP(S73,TAB_FERIES,4,FALSE)),"",VLOOKUP(S73,TAB_FERIES,4,FALSE))</f>
        <v/>
      </c>
      <c r="U73" s="497" t="str">
        <f t="shared" ref="U73:U127" si="41">IF(ISNA(VLOOKUP(S73,TAB_LUNE,2,FALSE)),"",VLOOKUP(S73,TAB_LUNE,2,FALSE))</f>
        <v/>
      </c>
      <c r="V73" s="48" t="str">
        <f t="shared" ref="V73:V127" si="42">IF(ISNA(VLOOKUP(S73,TAB_FERIES,3,FALSE)),"",VLOOKUP(S73,TAB_FERIES,3,FALSE))</f>
        <v/>
      </c>
      <c r="W73" s="48">
        <f>IF(R73="","",S73-DATE(YEAR(S73),1,0))</f>
        <v>244</v>
      </c>
      <c r="X73" s="49">
        <f>INT((9+S73-MOD(S73-2,7)-DATE(YEAR(3+S73-MOD(S73-2,7)),1,))/7)</f>
        <v>35</v>
      </c>
      <c r="Y73" s="50"/>
      <c r="Z73" s="161" t="str">
        <f t="shared" ref="Z73:Z127" si="43">VLOOKUP(WEEKDAY(AA73,2),TAB_SEMAINE,2,FALSE)</f>
        <v>Ve</v>
      </c>
      <c r="AA73" s="162">
        <f>DATE(YEAR(AA6),MONTH(AA6)+6,1)</f>
        <v>44470</v>
      </c>
      <c r="AB73" s="47" t="str">
        <f t="shared" ref="AB73:AB133" si="44">IF(ISNA(VLOOKUP(AA73,TAB_FERIES,4,FALSE)),"",VLOOKUP(AA73,TAB_FERIES,4,FALSE))</f>
        <v/>
      </c>
      <c r="AC73" s="497" t="str">
        <f t="shared" ref="AC73:AC127" si="45">IF(ISNA(VLOOKUP(AA73,TAB_LUNE,2,FALSE)),"",VLOOKUP(AA73,TAB_LUNE,2,FALSE))</f>
        <v/>
      </c>
      <c r="AD73" s="48" t="str">
        <f t="shared" ref="AD73:AD127" si="46">IF(ISNA(VLOOKUP(AA73,TAB_FERIES,3,FALSE)),"",VLOOKUP(AA73,TAB_FERIES,3,FALSE))</f>
        <v/>
      </c>
      <c r="AE73" s="48">
        <f>IF(Z73="","",AA73-DATE(YEAR(AA73),1,0))</f>
        <v>274</v>
      </c>
      <c r="AF73" s="49">
        <f>INT((9+AA73-MOD(AA73-2,7)-DATE(YEAR(3+AA73-MOD(AA73-2,7)),1,))/7)</f>
        <v>39</v>
      </c>
      <c r="AG73" s="50"/>
      <c r="AH73" s="161" t="str">
        <f t="shared" ref="AH73:AH127" si="47">VLOOKUP(WEEKDAY(AI73,2),TAB_SEMAINE,2,FALSE)</f>
        <v>Lu</v>
      </c>
      <c r="AI73" s="162">
        <f>DATE(YEAR(AI6),MONTH(AI6)+6,1)</f>
        <v>44501</v>
      </c>
      <c r="AJ73" s="47" t="str">
        <f t="shared" ref="AJ73:AJ131" si="48">IF(ISNA(VLOOKUP(AI73,TAB_FERIES,4,FALSE)),"",VLOOKUP(AI73,TAB_FERIES,4,FALSE))</f>
        <v>F</v>
      </c>
      <c r="AK73" s="497" t="str">
        <f t="shared" ref="AK73:AK127" si="49">IF(ISNA(VLOOKUP(AI73,TAB_LUNE,2,FALSE)),"",VLOOKUP(AI73,TAB_LUNE,2,FALSE))</f>
        <v/>
      </c>
      <c r="AL73" s="48" t="str">
        <f t="shared" ref="AL73:AL127" si="50">IF(ISNA(VLOOKUP(AI73,TAB_FERIES,3,FALSE)),"",VLOOKUP(AI73,TAB_FERIES,3,FALSE))</f>
        <v>Toussaint</v>
      </c>
      <c r="AM73" s="48">
        <f>IF(AH73="","",AI73-DATE(YEAR(AI73),1,0))</f>
        <v>305</v>
      </c>
      <c r="AN73" s="49">
        <f>INT((9+AI73-MOD(AI73-2,7)-DATE(YEAR(3+AI73-MOD(AI73-2,7)),1,))/7)</f>
        <v>44</v>
      </c>
      <c r="AO73" s="50"/>
      <c r="AP73" s="161" t="str">
        <f t="shared" ref="AP73:AP127" si="51">VLOOKUP(WEEKDAY(AQ73,2),TAB_SEMAINE,2,FALSE)</f>
        <v>Me</v>
      </c>
      <c r="AQ73" s="162">
        <f>DATE(YEAR(AQ6),MONTH(AQ6)+6,1)</f>
        <v>44531</v>
      </c>
      <c r="AR73" s="47" t="str">
        <f t="shared" ref="AR73:AR133" si="52">IF(ISNA(VLOOKUP(AQ73,TAB_FERIES,4,FALSE)),"",VLOOKUP(AQ73,TAB_FERIES,4,FALSE))</f>
        <v/>
      </c>
      <c r="AS73" s="497" t="str">
        <f t="shared" ref="AS73:AS127" si="53">IF(ISNA(VLOOKUP(AQ73,TAB_LUNE,2,FALSE)),"",VLOOKUP(AQ73,TAB_LUNE,2,FALSE))</f>
        <v/>
      </c>
      <c r="AT73" s="48" t="str">
        <f t="shared" ref="AT73:AT127" si="54">IF(ISNA(VLOOKUP(AQ73,TAB_FERIES,3,FALSE)),"",VLOOKUP(AQ73,TAB_FERIES,3,FALSE))</f>
        <v/>
      </c>
      <c r="AU73" s="48">
        <f>IF(AP73="","",AQ73-DATE(YEAR(AQ73),1,0))</f>
        <v>335</v>
      </c>
      <c r="AV73" s="49">
        <f>INT((9+AQ73-MOD(AQ73-2,7)-DATE(YEAR(3+AQ73-MOD(AQ73-2,7)),1,))/7)</f>
        <v>48</v>
      </c>
      <c r="AW73" s="403"/>
    </row>
    <row r="74" spans="1:49" s="3" customFormat="1" ht="4" customHeight="1" x14ac:dyDescent="0.15">
      <c r="A74" s="402"/>
      <c r="B74" s="161"/>
      <c r="C74" s="162"/>
      <c r="D74" s="47"/>
      <c r="E74" s="497"/>
      <c r="F74" s="48"/>
      <c r="G74" s="48"/>
      <c r="H74" s="49"/>
      <c r="I74" s="50"/>
      <c r="J74" s="161"/>
      <c r="K74" s="162"/>
      <c r="L74" s="47"/>
      <c r="M74" s="497"/>
      <c r="N74" s="48"/>
      <c r="O74" s="48"/>
      <c r="P74" s="49"/>
      <c r="Q74" s="50"/>
      <c r="R74" s="161"/>
      <c r="S74" s="162"/>
      <c r="T74" s="47"/>
      <c r="U74" s="497"/>
      <c r="V74" s="48"/>
      <c r="W74" s="48"/>
      <c r="X74" s="49"/>
      <c r="Y74" s="50"/>
      <c r="Z74" s="161"/>
      <c r="AA74" s="162"/>
      <c r="AB74" s="47"/>
      <c r="AC74" s="497"/>
      <c r="AD74" s="48"/>
      <c r="AE74" s="48"/>
      <c r="AF74" s="49"/>
      <c r="AG74" s="50"/>
      <c r="AH74" s="161"/>
      <c r="AI74" s="162"/>
      <c r="AJ74" s="47"/>
      <c r="AK74" s="497"/>
      <c r="AL74" s="48"/>
      <c r="AM74" s="48"/>
      <c r="AN74" s="49"/>
      <c r="AO74" s="50"/>
      <c r="AP74" s="161"/>
      <c r="AQ74" s="162"/>
      <c r="AR74" s="47"/>
      <c r="AS74" s="497"/>
      <c r="AT74" s="48"/>
      <c r="AU74" s="48"/>
      <c r="AV74" s="49"/>
      <c r="AW74" s="403"/>
    </row>
    <row r="75" spans="1:49" s="3" customFormat="1" ht="18" customHeight="1" x14ac:dyDescent="0.15">
      <c r="A75" s="402"/>
      <c r="B75" s="161" t="str">
        <f t="shared" si="31"/>
        <v>Ve</v>
      </c>
      <c r="C75" s="162">
        <f>+C73+1</f>
        <v>44379</v>
      </c>
      <c r="D75" s="47" t="str">
        <f t="shared" si="32"/>
        <v/>
      </c>
      <c r="E75" s="497" t="str">
        <f t="shared" si="33"/>
        <v/>
      </c>
      <c r="F75" s="48" t="str">
        <f t="shared" si="34"/>
        <v/>
      </c>
      <c r="G75" s="48">
        <f t="shared" ref="G75:G133" si="55">IF(B75="","",C75-DATE(YEAR(C75),1,0))</f>
        <v>183</v>
      </c>
      <c r="H75" s="49" t="str">
        <f>IF(C75="","",IF(MOD(C75-2,7),"",INT((9+C75-MOD(C75-2,7)-DATE(YEAR(3+C75-MOD(C75-2,7)),1,))/7)))</f>
        <v/>
      </c>
      <c r="I75" s="50"/>
      <c r="J75" s="161" t="str">
        <f t="shared" si="35"/>
        <v>Lu</v>
      </c>
      <c r="K75" s="162">
        <f>+K73+1</f>
        <v>44410</v>
      </c>
      <c r="L75" s="47" t="str">
        <f t="shared" si="36"/>
        <v/>
      </c>
      <c r="M75" s="497" t="str">
        <f t="shared" si="37"/>
        <v/>
      </c>
      <c r="N75" s="48" t="str">
        <f t="shared" si="38"/>
        <v/>
      </c>
      <c r="O75" s="48">
        <f t="shared" ref="O75:O133" si="56">IF(J75="","",K75-DATE(YEAR(K75),1,0))</f>
        <v>214</v>
      </c>
      <c r="P75" s="49">
        <f>IF(K75="","",IF(MOD(K75-2,7),"",INT((9+K75-MOD(K75-2,7)-DATE(YEAR(3+K75-MOD(K75-2,7)),1,))/7)))</f>
        <v>31</v>
      </c>
      <c r="Q75" s="50"/>
      <c r="R75" s="161" t="str">
        <f t="shared" si="39"/>
        <v>Je</v>
      </c>
      <c r="S75" s="162">
        <f>+S73+1</f>
        <v>44441</v>
      </c>
      <c r="T75" s="47" t="str">
        <f t="shared" si="40"/>
        <v/>
      </c>
      <c r="U75" s="497" t="str">
        <f t="shared" si="41"/>
        <v/>
      </c>
      <c r="V75" s="48" t="str">
        <f t="shared" si="42"/>
        <v/>
      </c>
      <c r="W75" s="48">
        <f t="shared" ref="W75:W133" si="57">IF(R75="","",S75-DATE(YEAR(S75),1,0))</f>
        <v>245</v>
      </c>
      <c r="X75" s="49" t="str">
        <f>IF(S75="","",IF(MOD(S75-2,7),"",INT((9+S75-MOD(S75-2,7)-DATE(YEAR(3+S75-MOD(S75-2,7)),1,))/7)))</f>
        <v/>
      </c>
      <c r="Y75" s="50"/>
      <c r="Z75" s="161" t="str">
        <f t="shared" si="43"/>
        <v>Sa</v>
      </c>
      <c r="AA75" s="162">
        <f>+AA73+1</f>
        <v>44471</v>
      </c>
      <c r="AB75" s="47" t="str">
        <f t="shared" si="44"/>
        <v/>
      </c>
      <c r="AC75" s="497" t="str">
        <f t="shared" si="45"/>
        <v/>
      </c>
      <c r="AD75" s="48" t="str">
        <f t="shared" si="46"/>
        <v/>
      </c>
      <c r="AE75" s="48">
        <f t="shared" ref="AE75:AE133" si="58">IF(Z75="","",AA75-DATE(YEAR(AA75),1,0))</f>
        <v>275</v>
      </c>
      <c r="AF75" s="49" t="str">
        <f>IF(AA75="","",IF(MOD(AA75-2,7),"",INT((9+AA75-MOD(AA75-2,7)-DATE(YEAR(3+AA75-MOD(AA75-2,7)),1,))/7)))</f>
        <v/>
      </c>
      <c r="AG75" s="50"/>
      <c r="AH75" s="161" t="str">
        <f t="shared" si="47"/>
        <v>Ma</v>
      </c>
      <c r="AI75" s="162">
        <f>+AI73+1</f>
        <v>44502</v>
      </c>
      <c r="AJ75" s="47" t="str">
        <f t="shared" si="48"/>
        <v/>
      </c>
      <c r="AK75" s="497" t="str">
        <f t="shared" si="49"/>
        <v/>
      </c>
      <c r="AL75" s="48" t="str">
        <f t="shared" si="50"/>
        <v/>
      </c>
      <c r="AM75" s="48">
        <f t="shared" ref="AM75:AM131" si="59">IF(AH75="","",AI75-DATE(YEAR(AI75),1,0))</f>
        <v>306</v>
      </c>
      <c r="AN75" s="49" t="str">
        <f>IF(AI75="","",IF(MOD(AI75-2,7),"",INT((9+AI75-MOD(AI75-2,7)-DATE(YEAR(3+AI75-MOD(AI75-2,7)),1,))/7)))</f>
        <v/>
      </c>
      <c r="AO75" s="50"/>
      <c r="AP75" s="161" t="str">
        <f t="shared" si="51"/>
        <v>Je</v>
      </c>
      <c r="AQ75" s="162">
        <f>+AQ73+1</f>
        <v>44532</v>
      </c>
      <c r="AR75" s="47" t="str">
        <f t="shared" si="52"/>
        <v/>
      </c>
      <c r="AS75" s="497" t="str">
        <f t="shared" si="53"/>
        <v/>
      </c>
      <c r="AT75" s="48" t="str">
        <f t="shared" si="54"/>
        <v/>
      </c>
      <c r="AU75" s="48">
        <f t="shared" ref="AU75:AU133" si="60">IF(AP75="","",AQ75-DATE(YEAR(AQ75),1,0))</f>
        <v>336</v>
      </c>
      <c r="AV75" s="49" t="str">
        <f>IF(AQ75="","",IF(MOD(AQ75-2,7),"",INT((9+AQ75-MOD(AQ75-2,7)-DATE(YEAR(3+AQ75-MOD(AQ75-2,7)),1,))/7)))</f>
        <v/>
      </c>
      <c r="AW75" s="403"/>
    </row>
    <row r="76" spans="1:49" s="3" customFormat="1" ht="4" customHeight="1" x14ac:dyDescent="0.15">
      <c r="A76" s="402"/>
      <c r="B76" s="161"/>
      <c r="C76" s="162"/>
      <c r="D76" s="47"/>
      <c r="E76" s="497"/>
      <c r="F76" s="48"/>
      <c r="G76" s="48"/>
      <c r="H76" s="49"/>
      <c r="I76" s="50"/>
      <c r="J76" s="161"/>
      <c r="K76" s="162"/>
      <c r="L76" s="47"/>
      <c r="M76" s="497"/>
      <c r="N76" s="48"/>
      <c r="O76" s="48"/>
      <c r="P76" s="49"/>
      <c r="Q76" s="50"/>
      <c r="R76" s="161"/>
      <c r="S76" s="162"/>
      <c r="T76" s="47"/>
      <c r="U76" s="497"/>
      <c r="V76" s="48"/>
      <c r="W76" s="48"/>
      <c r="X76" s="49"/>
      <c r="Y76" s="50"/>
      <c r="Z76" s="161"/>
      <c r="AA76" s="162"/>
      <c r="AB76" s="47"/>
      <c r="AC76" s="497"/>
      <c r="AD76" s="48"/>
      <c r="AE76" s="48"/>
      <c r="AF76" s="49"/>
      <c r="AG76" s="50"/>
      <c r="AH76" s="161"/>
      <c r="AI76" s="162"/>
      <c r="AJ76" s="47"/>
      <c r="AK76" s="497"/>
      <c r="AL76" s="48"/>
      <c r="AM76" s="48"/>
      <c r="AN76" s="49"/>
      <c r="AO76" s="50"/>
      <c r="AP76" s="161"/>
      <c r="AQ76" s="162"/>
      <c r="AR76" s="47"/>
      <c r="AS76" s="497"/>
      <c r="AT76" s="48"/>
      <c r="AU76" s="48"/>
      <c r="AV76" s="49"/>
      <c r="AW76" s="403"/>
    </row>
    <row r="77" spans="1:49" s="3" customFormat="1" ht="18" customHeight="1" x14ac:dyDescent="0.15">
      <c r="A77" s="402"/>
      <c r="B77" s="161" t="str">
        <f t="shared" si="31"/>
        <v>Sa</v>
      </c>
      <c r="C77" s="162">
        <f>+C75+1</f>
        <v>44380</v>
      </c>
      <c r="D77" s="47" t="str">
        <f t="shared" si="32"/>
        <v/>
      </c>
      <c r="E77" s="497" t="str">
        <f t="shared" si="33"/>
        <v/>
      </c>
      <c r="F77" s="48" t="str">
        <f t="shared" si="34"/>
        <v/>
      </c>
      <c r="G77" s="48">
        <f t="shared" si="55"/>
        <v>184</v>
      </c>
      <c r="H77" s="49" t="str">
        <f>IF(C77="","",IF(MOD(C77-2,7),"",INT((9+C77-MOD(C77-2,7)-DATE(YEAR(3+C77-MOD(C77-2,7)),1,))/7)))</f>
        <v/>
      </c>
      <c r="I77" s="50"/>
      <c r="J77" s="161" t="str">
        <f t="shared" si="35"/>
        <v>Ma</v>
      </c>
      <c r="K77" s="162">
        <f>+K75+1</f>
        <v>44411</v>
      </c>
      <c r="L77" s="47" t="str">
        <f t="shared" si="36"/>
        <v/>
      </c>
      <c r="M77" s="497" t="str">
        <f t="shared" si="37"/>
        <v/>
      </c>
      <c r="N77" s="48" t="str">
        <f t="shared" si="38"/>
        <v/>
      </c>
      <c r="O77" s="48">
        <f t="shared" si="56"/>
        <v>215</v>
      </c>
      <c r="P77" s="49" t="str">
        <f>IF(K77="","",IF(MOD(K77-2,7),"",INT((9+K77-MOD(K77-2,7)-DATE(YEAR(3+K77-MOD(K77-2,7)),1,))/7)))</f>
        <v/>
      </c>
      <c r="Q77" s="50"/>
      <c r="R77" s="161" t="str">
        <f t="shared" si="39"/>
        <v>Ve</v>
      </c>
      <c r="S77" s="162">
        <f>+S75+1</f>
        <v>44442</v>
      </c>
      <c r="T77" s="47" t="str">
        <f t="shared" si="40"/>
        <v/>
      </c>
      <c r="U77" s="497" t="str">
        <f t="shared" si="41"/>
        <v/>
      </c>
      <c r="V77" s="48" t="str">
        <f t="shared" si="42"/>
        <v/>
      </c>
      <c r="W77" s="48">
        <f t="shared" si="57"/>
        <v>246</v>
      </c>
      <c r="X77" s="49" t="str">
        <f>IF(S77="","",IF(MOD(S77-2,7),"",INT((9+S77-MOD(S77-2,7)-DATE(YEAR(3+S77-MOD(S77-2,7)),1,))/7)))</f>
        <v/>
      </c>
      <c r="Y77" s="50"/>
      <c r="Z77" s="161" t="str">
        <f t="shared" si="43"/>
        <v>Di</v>
      </c>
      <c r="AA77" s="162">
        <f>+AA75+1</f>
        <v>44472</v>
      </c>
      <c r="AB77" s="47" t="str">
        <f t="shared" si="44"/>
        <v/>
      </c>
      <c r="AC77" s="497" t="str">
        <f t="shared" si="45"/>
        <v/>
      </c>
      <c r="AD77" s="48" t="str">
        <f t="shared" si="46"/>
        <v/>
      </c>
      <c r="AE77" s="48">
        <f t="shared" si="58"/>
        <v>276</v>
      </c>
      <c r="AF77" s="49" t="str">
        <f>IF(AA77="","",IF(MOD(AA77-2,7),"",INT((9+AA77-MOD(AA77-2,7)-DATE(YEAR(3+AA77-MOD(AA77-2,7)),1,))/7)))</f>
        <v/>
      </c>
      <c r="AG77" s="50"/>
      <c r="AH77" s="161" t="str">
        <f t="shared" si="47"/>
        <v>Me</v>
      </c>
      <c r="AI77" s="162">
        <f>+AI75+1</f>
        <v>44503</v>
      </c>
      <c r="AJ77" s="47" t="str">
        <f t="shared" si="48"/>
        <v/>
      </c>
      <c r="AK77" s="497" t="str">
        <f t="shared" si="49"/>
        <v/>
      </c>
      <c r="AL77" s="48" t="str">
        <f t="shared" si="50"/>
        <v/>
      </c>
      <c r="AM77" s="48">
        <f t="shared" si="59"/>
        <v>307</v>
      </c>
      <c r="AN77" s="49" t="str">
        <f>IF(AI77="","",IF(MOD(AI77-2,7),"",INT((9+AI77-MOD(AI77-2,7)-DATE(YEAR(3+AI77-MOD(AI77-2,7)),1,))/7)))</f>
        <v/>
      </c>
      <c r="AO77" s="50"/>
      <c r="AP77" s="161" t="str">
        <f t="shared" si="51"/>
        <v>Ve</v>
      </c>
      <c r="AQ77" s="162">
        <f>+AQ75+1</f>
        <v>44533</v>
      </c>
      <c r="AR77" s="47" t="str">
        <f t="shared" si="52"/>
        <v/>
      </c>
      <c r="AS77" s="497" t="str">
        <f t="shared" si="53"/>
        <v/>
      </c>
      <c r="AT77" s="48" t="str">
        <f t="shared" si="54"/>
        <v/>
      </c>
      <c r="AU77" s="48">
        <f t="shared" si="60"/>
        <v>337</v>
      </c>
      <c r="AV77" s="49" t="str">
        <f t="shared" ref="AV77:AV133" si="61">IF(AQ77="","",IF(MOD(AQ77-2,7),"",INT((9+AQ77-MOD(AQ77-2,7)-DATE(YEAR(3+AQ77-MOD(AQ77-2,7)),1,))/7)))</f>
        <v/>
      </c>
      <c r="AW77" s="403"/>
    </row>
    <row r="78" spans="1:49" s="3" customFormat="1" ht="4" customHeight="1" x14ac:dyDescent="0.15">
      <c r="A78" s="402"/>
      <c r="B78" s="161"/>
      <c r="C78" s="162"/>
      <c r="D78" s="47"/>
      <c r="E78" s="497"/>
      <c r="F78" s="48"/>
      <c r="G78" s="48"/>
      <c r="H78" s="49"/>
      <c r="I78" s="50"/>
      <c r="J78" s="161"/>
      <c r="K78" s="162"/>
      <c r="L78" s="47"/>
      <c r="M78" s="497"/>
      <c r="N78" s="48"/>
      <c r="O78" s="48"/>
      <c r="P78" s="49"/>
      <c r="Q78" s="50"/>
      <c r="R78" s="161"/>
      <c r="S78" s="162"/>
      <c r="T78" s="47"/>
      <c r="U78" s="497"/>
      <c r="V78" s="48"/>
      <c r="W78" s="48"/>
      <c r="X78" s="49"/>
      <c r="Y78" s="50"/>
      <c r="Z78" s="161"/>
      <c r="AA78" s="162"/>
      <c r="AB78" s="47"/>
      <c r="AC78" s="497"/>
      <c r="AD78" s="48"/>
      <c r="AE78" s="48"/>
      <c r="AF78" s="49"/>
      <c r="AG78" s="50"/>
      <c r="AH78" s="161"/>
      <c r="AI78" s="162"/>
      <c r="AJ78" s="47"/>
      <c r="AK78" s="497"/>
      <c r="AL78" s="48"/>
      <c r="AM78" s="48"/>
      <c r="AN78" s="49"/>
      <c r="AO78" s="50"/>
      <c r="AP78" s="161"/>
      <c r="AQ78" s="162"/>
      <c r="AR78" s="47"/>
      <c r="AS78" s="497"/>
      <c r="AT78" s="48"/>
      <c r="AU78" s="48"/>
      <c r="AV78" s="49"/>
      <c r="AW78" s="403"/>
    </row>
    <row r="79" spans="1:49" s="3" customFormat="1" ht="18" customHeight="1" x14ac:dyDescent="0.15">
      <c r="A79" s="402"/>
      <c r="B79" s="161" t="str">
        <f t="shared" si="31"/>
        <v>Di</v>
      </c>
      <c r="C79" s="162">
        <f>+C77+1</f>
        <v>44381</v>
      </c>
      <c r="D79" s="47" t="str">
        <f t="shared" si="32"/>
        <v/>
      </c>
      <c r="E79" s="497" t="str">
        <f t="shared" si="33"/>
        <v/>
      </c>
      <c r="F79" s="48" t="str">
        <f t="shared" si="34"/>
        <v/>
      </c>
      <c r="G79" s="48">
        <f t="shared" si="55"/>
        <v>185</v>
      </c>
      <c r="H79" s="49" t="str">
        <f>IF(C79="","",IF(MOD(C79-2,7),"",INT((9+C79-MOD(C79-2,7)-DATE(YEAR(3+C79-MOD(C79-2,7)),1,))/7)))</f>
        <v/>
      </c>
      <c r="I79" s="50"/>
      <c r="J79" s="161" t="str">
        <f t="shared" si="35"/>
        <v>Me</v>
      </c>
      <c r="K79" s="162">
        <f>+K77+1</f>
        <v>44412</v>
      </c>
      <c r="L79" s="47" t="str">
        <f t="shared" si="36"/>
        <v/>
      </c>
      <c r="M79" s="497" t="str">
        <f t="shared" si="37"/>
        <v/>
      </c>
      <c r="N79" s="48" t="str">
        <f t="shared" si="38"/>
        <v/>
      </c>
      <c r="O79" s="48">
        <f t="shared" si="56"/>
        <v>216</v>
      </c>
      <c r="P79" s="49" t="str">
        <f>IF(K79="","",IF(MOD(K79-2,7),"",INT((9+K79-MOD(K79-2,7)-DATE(YEAR(3+K79-MOD(K79-2,7)),1,))/7)))</f>
        <v/>
      </c>
      <c r="Q79" s="50"/>
      <c r="R79" s="161" t="str">
        <f t="shared" si="39"/>
        <v>Sa</v>
      </c>
      <c r="S79" s="162">
        <f>+S77+1</f>
        <v>44443</v>
      </c>
      <c r="T79" s="47" t="str">
        <f t="shared" si="40"/>
        <v/>
      </c>
      <c r="U79" s="497" t="str">
        <f t="shared" si="41"/>
        <v/>
      </c>
      <c r="V79" s="48" t="str">
        <f t="shared" si="42"/>
        <v/>
      </c>
      <c r="W79" s="48">
        <f t="shared" si="57"/>
        <v>247</v>
      </c>
      <c r="X79" s="49" t="str">
        <f>IF(S79="","",IF(MOD(S79-2,7),"",INT((9+S79-MOD(S79-2,7)-DATE(YEAR(3+S79-MOD(S79-2,7)),1,))/7)))</f>
        <v/>
      </c>
      <c r="Y79" s="50"/>
      <c r="Z79" s="161" t="str">
        <f t="shared" si="43"/>
        <v>Lu</v>
      </c>
      <c r="AA79" s="162">
        <f>+AA77+1</f>
        <v>44473</v>
      </c>
      <c r="AB79" s="47" t="str">
        <f t="shared" si="44"/>
        <v/>
      </c>
      <c r="AC79" s="497" t="str">
        <f t="shared" si="45"/>
        <v/>
      </c>
      <c r="AD79" s="48" t="str">
        <f t="shared" si="46"/>
        <v/>
      </c>
      <c r="AE79" s="48">
        <f t="shared" si="58"/>
        <v>277</v>
      </c>
      <c r="AF79" s="49">
        <f>IF(AA79="","",IF(MOD(AA79-2,7),"",INT((9+AA79-MOD(AA79-2,7)-DATE(YEAR(3+AA79-MOD(AA79-2,7)),1,))/7)))</f>
        <v>40</v>
      </c>
      <c r="AG79" s="50"/>
      <c r="AH79" s="161" t="str">
        <f t="shared" si="47"/>
        <v>Je</v>
      </c>
      <c r="AI79" s="162">
        <f>+AI77+1</f>
        <v>44504</v>
      </c>
      <c r="AJ79" s="47" t="str">
        <f t="shared" si="48"/>
        <v/>
      </c>
      <c r="AK79" s="497" t="str">
        <f t="shared" si="49"/>
        <v>🌑</v>
      </c>
      <c r="AL79" s="48" t="str">
        <f t="shared" si="50"/>
        <v/>
      </c>
      <c r="AM79" s="48">
        <f t="shared" si="59"/>
        <v>308</v>
      </c>
      <c r="AN79" s="49" t="str">
        <f>IF(AI79="","",IF(MOD(AI79-2,7),"",INT((9+AI79-MOD(AI79-2,7)-DATE(YEAR(3+AI79-MOD(AI79-2,7)),1,))/7)))</f>
        <v/>
      </c>
      <c r="AO79" s="50"/>
      <c r="AP79" s="161" t="str">
        <f t="shared" si="51"/>
        <v>Sa</v>
      </c>
      <c r="AQ79" s="162">
        <f>+AQ77+1</f>
        <v>44534</v>
      </c>
      <c r="AR79" s="47" t="str">
        <f t="shared" si="52"/>
        <v/>
      </c>
      <c r="AS79" s="497" t="str">
        <f t="shared" si="53"/>
        <v>🌑</v>
      </c>
      <c r="AT79" s="48" t="str">
        <f t="shared" si="54"/>
        <v/>
      </c>
      <c r="AU79" s="48">
        <f t="shared" si="60"/>
        <v>338</v>
      </c>
      <c r="AV79" s="49" t="str">
        <f t="shared" si="61"/>
        <v/>
      </c>
      <c r="AW79" s="403"/>
    </row>
    <row r="80" spans="1:49" s="3" customFormat="1" ht="4" customHeight="1" x14ac:dyDescent="0.15">
      <c r="A80" s="402"/>
      <c r="B80" s="161"/>
      <c r="C80" s="162"/>
      <c r="D80" s="47"/>
      <c r="E80" s="497"/>
      <c r="F80" s="48"/>
      <c r="G80" s="48"/>
      <c r="H80" s="49"/>
      <c r="I80" s="50"/>
      <c r="J80" s="161"/>
      <c r="K80" s="162"/>
      <c r="L80" s="47"/>
      <c r="M80" s="497"/>
      <c r="N80" s="48"/>
      <c r="O80" s="48"/>
      <c r="P80" s="49"/>
      <c r="Q80" s="50"/>
      <c r="R80" s="161"/>
      <c r="S80" s="162"/>
      <c r="T80" s="47"/>
      <c r="U80" s="497"/>
      <c r="V80" s="48"/>
      <c r="W80" s="48"/>
      <c r="X80" s="49"/>
      <c r="Y80" s="50"/>
      <c r="Z80" s="161"/>
      <c r="AA80" s="162"/>
      <c r="AB80" s="47"/>
      <c r="AC80" s="497"/>
      <c r="AD80" s="48"/>
      <c r="AE80" s="48"/>
      <c r="AF80" s="49"/>
      <c r="AG80" s="50"/>
      <c r="AH80" s="161"/>
      <c r="AI80" s="162"/>
      <c r="AJ80" s="47"/>
      <c r="AK80" s="497"/>
      <c r="AL80" s="48"/>
      <c r="AM80" s="48"/>
      <c r="AN80" s="49"/>
      <c r="AO80" s="50"/>
      <c r="AP80" s="161"/>
      <c r="AQ80" s="162"/>
      <c r="AR80" s="47"/>
      <c r="AS80" s="497"/>
      <c r="AT80" s="48"/>
      <c r="AU80" s="48"/>
      <c r="AV80" s="49"/>
      <c r="AW80" s="403"/>
    </row>
    <row r="81" spans="1:49" s="3" customFormat="1" ht="18" customHeight="1" x14ac:dyDescent="0.15">
      <c r="A81" s="402"/>
      <c r="B81" s="161" t="str">
        <f t="shared" si="31"/>
        <v>Lu</v>
      </c>
      <c r="C81" s="162">
        <f>+C79+1</f>
        <v>44382</v>
      </c>
      <c r="D81" s="47" t="str">
        <f t="shared" si="32"/>
        <v/>
      </c>
      <c r="E81" s="497" t="str">
        <f t="shared" si="33"/>
        <v/>
      </c>
      <c r="F81" s="48" t="str">
        <f t="shared" si="34"/>
        <v/>
      </c>
      <c r="G81" s="48">
        <f t="shared" si="55"/>
        <v>186</v>
      </c>
      <c r="H81" s="49">
        <f>IF(C81="","",IF(MOD(C81-2,7),"",INT((9+C81-MOD(C81-2,7)-DATE(YEAR(3+C81-MOD(C81-2,7)),1,))/7)))</f>
        <v>27</v>
      </c>
      <c r="I81" s="50"/>
      <c r="J81" s="161" t="str">
        <f t="shared" si="35"/>
        <v>Je</v>
      </c>
      <c r="K81" s="162">
        <f>+K79+1</f>
        <v>44413</v>
      </c>
      <c r="L81" s="47" t="str">
        <f t="shared" si="36"/>
        <v/>
      </c>
      <c r="M81" s="497" t="str">
        <f t="shared" si="37"/>
        <v/>
      </c>
      <c r="N81" s="48" t="str">
        <f t="shared" si="38"/>
        <v/>
      </c>
      <c r="O81" s="48">
        <f t="shared" si="56"/>
        <v>217</v>
      </c>
      <c r="P81" s="49" t="str">
        <f>IF(K81="","",IF(MOD(K81-2,7),"",INT((9+K81-MOD(K81-2,7)-DATE(YEAR(3+K81-MOD(K81-2,7)),1,))/7)))</f>
        <v/>
      </c>
      <c r="Q81" s="50"/>
      <c r="R81" s="161" t="str">
        <f t="shared" si="39"/>
        <v>Di</v>
      </c>
      <c r="S81" s="162">
        <f>+S79+1</f>
        <v>44444</v>
      </c>
      <c r="T81" s="47" t="str">
        <f t="shared" si="40"/>
        <v/>
      </c>
      <c r="U81" s="497" t="str">
        <f t="shared" si="41"/>
        <v/>
      </c>
      <c r="V81" s="48" t="str">
        <f t="shared" si="42"/>
        <v/>
      </c>
      <c r="W81" s="48">
        <f t="shared" si="57"/>
        <v>248</v>
      </c>
      <c r="X81" s="49" t="str">
        <f>IF(S81="","",IF(MOD(S81-2,7),"",INT((9+S81-MOD(S81-2,7)-DATE(YEAR(3+S81-MOD(S81-2,7)),1,))/7)))</f>
        <v/>
      </c>
      <c r="Y81" s="50"/>
      <c r="Z81" s="161" t="str">
        <f t="shared" si="43"/>
        <v>Ma</v>
      </c>
      <c r="AA81" s="162">
        <f>+AA79+1</f>
        <v>44474</v>
      </c>
      <c r="AB81" s="47" t="str">
        <f t="shared" si="44"/>
        <v/>
      </c>
      <c r="AC81" s="497" t="str">
        <f t="shared" si="45"/>
        <v/>
      </c>
      <c r="AD81" s="48" t="str">
        <f t="shared" si="46"/>
        <v/>
      </c>
      <c r="AE81" s="48">
        <f t="shared" si="58"/>
        <v>278</v>
      </c>
      <c r="AF81" s="49" t="str">
        <f>IF(AA81="","",IF(MOD(AA81-2,7),"",INT((9+AA81-MOD(AA81-2,7)-DATE(YEAR(3+AA81-MOD(AA81-2,7)),1,))/7)))</f>
        <v/>
      </c>
      <c r="AG81" s="50"/>
      <c r="AH81" s="161" t="str">
        <f t="shared" si="47"/>
        <v>Ve</v>
      </c>
      <c r="AI81" s="162">
        <f>+AI79+1</f>
        <v>44505</v>
      </c>
      <c r="AJ81" s="47" t="str">
        <f t="shared" si="48"/>
        <v/>
      </c>
      <c r="AK81" s="497" t="str">
        <f t="shared" si="49"/>
        <v/>
      </c>
      <c r="AL81" s="48" t="str">
        <f t="shared" si="50"/>
        <v/>
      </c>
      <c r="AM81" s="48">
        <f t="shared" si="59"/>
        <v>309</v>
      </c>
      <c r="AN81" s="49" t="str">
        <f>IF(AI81="","",IF(MOD(AI81-2,7),"",INT((9+AI81-MOD(AI81-2,7)-DATE(YEAR(3+AI81-MOD(AI81-2,7)),1,))/7)))</f>
        <v/>
      </c>
      <c r="AO81" s="50"/>
      <c r="AP81" s="161" t="str">
        <f t="shared" si="51"/>
        <v>Di</v>
      </c>
      <c r="AQ81" s="162">
        <f>+AQ79+1</f>
        <v>44535</v>
      </c>
      <c r="AR81" s="47" t="str">
        <f t="shared" si="52"/>
        <v/>
      </c>
      <c r="AS81" s="497" t="str">
        <f t="shared" si="53"/>
        <v/>
      </c>
      <c r="AT81" s="48" t="str">
        <f t="shared" si="54"/>
        <v/>
      </c>
      <c r="AU81" s="48">
        <f t="shared" si="60"/>
        <v>339</v>
      </c>
      <c r="AV81" s="49" t="str">
        <f t="shared" si="61"/>
        <v/>
      </c>
      <c r="AW81" s="403"/>
    </row>
    <row r="82" spans="1:49" s="3" customFormat="1" ht="4" customHeight="1" x14ac:dyDescent="0.15">
      <c r="A82" s="402"/>
      <c r="B82" s="161"/>
      <c r="C82" s="162"/>
      <c r="D82" s="47"/>
      <c r="E82" s="497"/>
      <c r="F82" s="48"/>
      <c r="G82" s="48"/>
      <c r="H82" s="49"/>
      <c r="I82" s="50"/>
      <c r="J82" s="161"/>
      <c r="K82" s="162"/>
      <c r="L82" s="47"/>
      <c r="M82" s="497"/>
      <c r="N82" s="48"/>
      <c r="O82" s="48"/>
      <c r="P82" s="49"/>
      <c r="Q82" s="50"/>
      <c r="R82" s="161"/>
      <c r="S82" s="162"/>
      <c r="T82" s="47"/>
      <c r="U82" s="497"/>
      <c r="V82" s="48"/>
      <c r="W82" s="48"/>
      <c r="X82" s="49"/>
      <c r="Y82" s="50"/>
      <c r="Z82" s="161"/>
      <c r="AA82" s="162"/>
      <c r="AB82" s="47"/>
      <c r="AC82" s="497"/>
      <c r="AD82" s="48"/>
      <c r="AE82" s="48"/>
      <c r="AF82" s="49"/>
      <c r="AG82" s="50"/>
      <c r="AH82" s="161"/>
      <c r="AI82" s="162"/>
      <c r="AJ82" s="47"/>
      <c r="AK82" s="497"/>
      <c r="AL82" s="48"/>
      <c r="AM82" s="48"/>
      <c r="AN82" s="49"/>
      <c r="AO82" s="50"/>
      <c r="AP82" s="161"/>
      <c r="AQ82" s="162"/>
      <c r="AR82" s="47"/>
      <c r="AS82" s="497"/>
      <c r="AT82" s="48"/>
      <c r="AU82" s="48"/>
      <c r="AV82" s="49"/>
      <c r="AW82" s="403"/>
    </row>
    <row r="83" spans="1:49" s="3" customFormat="1" ht="18" customHeight="1" x14ac:dyDescent="0.15">
      <c r="A83" s="402"/>
      <c r="B83" s="161" t="str">
        <f t="shared" si="31"/>
        <v>Ma</v>
      </c>
      <c r="C83" s="162">
        <f>+C81+1</f>
        <v>44383</v>
      </c>
      <c r="D83" s="47" t="str">
        <f t="shared" si="32"/>
        <v/>
      </c>
      <c r="E83" s="497" t="str">
        <f t="shared" si="33"/>
        <v/>
      </c>
      <c r="F83" s="48" t="str">
        <f t="shared" si="34"/>
        <v/>
      </c>
      <c r="G83" s="48">
        <f t="shared" si="55"/>
        <v>187</v>
      </c>
      <c r="H83" s="49" t="str">
        <f>IF(C83="","",IF(MOD(C83-2,7),"",INT((9+C83-MOD(C83-2,7)-DATE(YEAR(3+C83-MOD(C83-2,7)),1,))/7)))</f>
        <v/>
      </c>
      <c r="I83" s="50"/>
      <c r="J83" s="161" t="str">
        <f t="shared" si="35"/>
        <v>Ve</v>
      </c>
      <c r="K83" s="162">
        <f>+K81+1</f>
        <v>44414</v>
      </c>
      <c r="L83" s="47" t="str">
        <f t="shared" si="36"/>
        <v/>
      </c>
      <c r="M83" s="497" t="str">
        <f t="shared" si="37"/>
        <v/>
      </c>
      <c r="N83" s="48" t="str">
        <f t="shared" si="38"/>
        <v/>
      </c>
      <c r="O83" s="48">
        <f t="shared" si="56"/>
        <v>218</v>
      </c>
      <c r="P83" s="49" t="str">
        <f>IF(K83="","",IF(MOD(K83-2,7),"",INT((9+K83-MOD(K83-2,7)-DATE(YEAR(3+K83-MOD(K83-2,7)),1,))/7)))</f>
        <v/>
      </c>
      <c r="Q83" s="50"/>
      <c r="R83" s="161" t="str">
        <f t="shared" si="39"/>
        <v>Lu</v>
      </c>
      <c r="S83" s="162">
        <f>+S81+1</f>
        <v>44445</v>
      </c>
      <c r="T83" s="47" t="str">
        <f t="shared" si="40"/>
        <v/>
      </c>
      <c r="U83" s="497" t="str">
        <f t="shared" si="41"/>
        <v/>
      </c>
      <c r="V83" s="48" t="str">
        <f t="shared" si="42"/>
        <v/>
      </c>
      <c r="W83" s="48">
        <f t="shared" si="57"/>
        <v>249</v>
      </c>
      <c r="X83" s="49">
        <f>IF(S83="","",IF(MOD(S83-2,7),"",INT((9+S83-MOD(S83-2,7)-DATE(YEAR(3+S83-MOD(S83-2,7)),1,))/7)))</f>
        <v>36</v>
      </c>
      <c r="Y83" s="50"/>
      <c r="Z83" s="161" t="str">
        <f t="shared" si="43"/>
        <v>Me</v>
      </c>
      <c r="AA83" s="162">
        <f>+AA81+1</f>
        <v>44475</v>
      </c>
      <c r="AB83" s="47" t="str">
        <f t="shared" si="44"/>
        <v/>
      </c>
      <c r="AC83" s="497" t="str">
        <f t="shared" si="45"/>
        <v>🌑</v>
      </c>
      <c r="AD83" s="48" t="str">
        <f t="shared" si="46"/>
        <v/>
      </c>
      <c r="AE83" s="48">
        <f t="shared" si="58"/>
        <v>279</v>
      </c>
      <c r="AF83" s="49" t="str">
        <f>IF(AA83="","",IF(MOD(AA83-2,7),"",INT((9+AA83-MOD(AA83-2,7)-DATE(YEAR(3+AA83-MOD(AA83-2,7)),1,))/7)))</f>
        <v/>
      </c>
      <c r="AG83" s="50"/>
      <c r="AH83" s="161" t="str">
        <f t="shared" si="47"/>
        <v>Sa</v>
      </c>
      <c r="AI83" s="162">
        <f>+AI81+1</f>
        <v>44506</v>
      </c>
      <c r="AJ83" s="47" t="str">
        <f t="shared" si="48"/>
        <v/>
      </c>
      <c r="AK83" s="497" t="str">
        <f t="shared" si="49"/>
        <v/>
      </c>
      <c r="AL83" s="48" t="str">
        <f t="shared" si="50"/>
        <v/>
      </c>
      <c r="AM83" s="48">
        <f t="shared" si="59"/>
        <v>310</v>
      </c>
      <c r="AN83" s="49" t="str">
        <f>IF(AI83="","",IF(MOD(AI83-2,7),"",INT((9+AI83-MOD(AI83-2,7)-DATE(YEAR(3+AI83-MOD(AI83-2,7)),1,))/7)))</f>
        <v/>
      </c>
      <c r="AO83" s="50"/>
      <c r="AP83" s="161" t="str">
        <f t="shared" si="51"/>
        <v>Lu</v>
      </c>
      <c r="AQ83" s="162">
        <f>+AQ81+1</f>
        <v>44536</v>
      </c>
      <c r="AR83" s="47" t="str">
        <f t="shared" si="52"/>
        <v/>
      </c>
      <c r="AS83" s="497" t="str">
        <f t="shared" si="53"/>
        <v/>
      </c>
      <c r="AT83" s="48" t="str">
        <f t="shared" si="54"/>
        <v/>
      </c>
      <c r="AU83" s="48">
        <f t="shared" si="60"/>
        <v>340</v>
      </c>
      <c r="AV83" s="49">
        <f t="shared" si="61"/>
        <v>49</v>
      </c>
      <c r="AW83" s="403"/>
    </row>
    <row r="84" spans="1:49" s="3" customFormat="1" ht="4" customHeight="1" x14ac:dyDescent="0.15">
      <c r="A84" s="402"/>
      <c r="B84" s="161"/>
      <c r="C84" s="162"/>
      <c r="D84" s="47"/>
      <c r="E84" s="497"/>
      <c r="F84" s="48"/>
      <c r="G84" s="48"/>
      <c r="H84" s="49"/>
      <c r="I84" s="50"/>
      <c r="J84" s="161"/>
      <c r="K84" s="162"/>
      <c r="L84" s="47"/>
      <c r="M84" s="497"/>
      <c r="N84" s="48"/>
      <c r="O84" s="48"/>
      <c r="P84" s="49"/>
      <c r="Q84" s="50"/>
      <c r="R84" s="161"/>
      <c r="S84" s="162"/>
      <c r="T84" s="47"/>
      <c r="U84" s="497"/>
      <c r="V84" s="48"/>
      <c r="W84" s="48"/>
      <c r="X84" s="49"/>
      <c r="Y84" s="50"/>
      <c r="Z84" s="161"/>
      <c r="AA84" s="162"/>
      <c r="AB84" s="47"/>
      <c r="AC84" s="497"/>
      <c r="AD84" s="48"/>
      <c r="AE84" s="48"/>
      <c r="AF84" s="49"/>
      <c r="AG84" s="50"/>
      <c r="AH84" s="161"/>
      <c r="AI84" s="162"/>
      <c r="AJ84" s="47"/>
      <c r="AK84" s="497"/>
      <c r="AL84" s="48"/>
      <c r="AM84" s="48"/>
      <c r="AN84" s="49"/>
      <c r="AO84" s="50"/>
      <c r="AP84" s="161"/>
      <c r="AQ84" s="162"/>
      <c r="AR84" s="47"/>
      <c r="AS84" s="497"/>
      <c r="AT84" s="48"/>
      <c r="AU84" s="48"/>
      <c r="AV84" s="49"/>
      <c r="AW84" s="403"/>
    </row>
    <row r="85" spans="1:49" s="3" customFormat="1" ht="18" customHeight="1" x14ac:dyDescent="0.15">
      <c r="A85" s="402"/>
      <c r="B85" s="161" t="str">
        <f t="shared" si="31"/>
        <v>Me</v>
      </c>
      <c r="C85" s="162">
        <f>+C83+1</f>
        <v>44384</v>
      </c>
      <c r="D85" s="47" t="str">
        <f t="shared" si="32"/>
        <v/>
      </c>
      <c r="E85" s="497" t="str">
        <f t="shared" si="33"/>
        <v/>
      </c>
      <c r="F85" s="48" t="str">
        <f t="shared" si="34"/>
        <v/>
      </c>
      <c r="G85" s="48">
        <f t="shared" si="55"/>
        <v>188</v>
      </c>
      <c r="H85" s="49" t="str">
        <f>IF(C85="","",IF(MOD(C85-2,7),"",INT((9+C85-MOD(C85-2,7)-DATE(YEAR(3+C85-MOD(C85-2,7)),1,))/7)))</f>
        <v/>
      </c>
      <c r="I85" s="50"/>
      <c r="J85" s="161" t="str">
        <f t="shared" si="35"/>
        <v>Sa</v>
      </c>
      <c r="K85" s="162">
        <f>+K83+1</f>
        <v>44415</v>
      </c>
      <c r="L85" s="47" t="str">
        <f t="shared" si="36"/>
        <v/>
      </c>
      <c r="M85" s="497" t="str">
        <f t="shared" si="37"/>
        <v/>
      </c>
      <c r="N85" s="48" t="str">
        <f t="shared" si="38"/>
        <v/>
      </c>
      <c r="O85" s="48">
        <f t="shared" si="56"/>
        <v>219</v>
      </c>
      <c r="P85" s="49" t="str">
        <f>IF(K85="","",IF(MOD(K85-2,7),"",INT((9+K85-MOD(K85-2,7)-DATE(YEAR(3+K85-MOD(K85-2,7)),1,))/7)))</f>
        <v/>
      </c>
      <c r="Q85" s="50"/>
      <c r="R85" s="161" t="str">
        <f t="shared" si="39"/>
        <v>Ma</v>
      </c>
      <c r="S85" s="162">
        <f>+S83+1</f>
        <v>44446</v>
      </c>
      <c r="T85" s="47" t="str">
        <f t="shared" si="40"/>
        <v/>
      </c>
      <c r="U85" s="497" t="str">
        <f t="shared" si="41"/>
        <v>🌑</v>
      </c>
      <c r="V85" s="48" t="str">
        <f t="shared" si="42"/>
        <v/>
      </c>
      <c r="W85" s="48">
        <f t="shared" si="57"/>
        <v>250</v>
      </c>
      <c r="X85" s="49" t="str">
        <f>IF(S85="","",IF(MOD(S85-2,7),"",INT((9+S85-MOD(S85-2,7)-DATE(YEAR(3+S85-MOD(S85-2,7)),1,))/7)))</f>
        <v/>
      </c>
      <c r="Y85" s="50"/>
      <c r="Z85" s="161" t="str">
        <f t="shared" si="43"/>
        <v>Je</v>
      </c>
      <c r="AA85" s="162">
        <f>+AA83+1</f>
        <v>44476</v>
      </c>
      <c r="AB85" s="47" t="str">
        <f t="shared" si="44"/>
        <v/>
      </c>
      <c r="AC85" s="497" t="str">
        <f t="shared" si="45"/>
        <v/>
      </c>
      <c r="AD85" s="48" t="str">
        <f t="shared" si="46"/>
        <v/>
      </c>
      <c r="AE85" s="48">
        <f t="shared" si="58"/>
        <v>280</v>
      </c>
      <c r="AF85" s="49" t="str">
        <f>IF(AA85="","",IF(MOD(AA85-2,7),"",INT((9+AA85-MOD(AA85-2,7)-DATE(YEAR(3+AA85-MOD(AA85-2,7)),1,))/7)))</f>
        <v/>
      </c>
      <c r="AG85" s="50"/>
      <c r="AH85" s="161" t="str">
        <f t="shared" si="47"/>
        <v>Di</v>
      </c>
      <c r="AI85" s="162">
        <f>+AI83+1</f>
        <v>44507</v>
      </c>
      <c r="AJ85" s="47" t="str">
        <f t="shared" si="48"/>
        <v/>
      </c>
      <c r="AK85" s="497" t="str">
        <f t="shared" si="49"/>
        <v/>
      </c>
      <c r="AL85" s="48" t="str">
        <f t="shared" si="50"/>
        <v/>
      </c>
      <c r="AM85" s="48">
        <f t="shared" si="59"/>
        <v>311</v>
      </c>
      <c r="AN85" s="49" t="str">
        <f>IF(AI85="","",IF(MOD(AI85-2,7),"",INT((9+AI85-MOD(AI85-2,7)-DATE(YEAR(3+AI85-MOD(AI85-2,7)),1,))/7)))</f>
        <v/>
      </c>
      <c r="AO85" s="50"/>
      <c r="AP85" s="161" t="str">
        <f t="shared" si="51"/>
        <v>Ma</v>
      </c>
      <c r="AQ85" s="162">
        <f>+AQ83+1</f>
        <v>44537</v>
      </c>
      <c r="AR85" s="47" t="str">
        <f t="shared" si="52"/>
        <v/>
      </c>
      <c r="AS85" s="497" t="str">
        <f t="shared" si="53"/>
        <v/>
      </c>
      <c r="AT85" s="48" t="str">
        <f t="shared" si="54"/>
        <v/>
      </c>
      <c r="AU85" s="48">
        <f t="shared" si="60"/>
        <v>341</v>
      </c>
      <c r="AV85" s="49" t="str">
        <f t="shared" si="61"/>
        <v/>
      </c>
      <c r="AW85" s="403"/>
    </row>
    <row r="86" spans="1:49" s="3" customFormat="1" ht="4" customHeight="1" x14ac:dyDescent="0.15">
      <c r="A86" s="402"/>
      <c r="B86" s="161"/>
      <c r="C86" s="162"/>
      <c r="D86" s="47"/>
      <c r="E86" s="497"/>
      <c r="F86" s="48"/>
      <c r="G86" s="48"/>
      <c r="H86" s="49"/>
      <c r="I86" s="50"/>
      <c r="J86" s="161"/>
      <c r="K86" s="162"/>
      <c r="L86" s="47"/>
      <c r="M86" s="497"/>
      <c r="N86" s="48"/>
      <c r="O86" s="48"/>
      <c r="P86" s="49"/>
      <c r="Q86" s="50"/>
      <c r="R86" s="161"/>
      <c r="S86" s="162"/>
      <c r="T86" s="47"/>
      <c r="U86" s="497"/>
      <c r="V86" s="48"/>
      <c r="W86" s="48"/>
      <c r="X86" s="49"/>
      <c r="Y86" s="50"/>
      <c r="Z86" s="161"/>
      <c r="AA86" s="162"/>
      <c r="AB86" s="47"/>
      <c r="AC86" s="497"/>
      <c r="AD86" s="48"/>
      <c r="AE86" s="48"/>
      <c r="AF86" s="49"/>
      <c r="AG86" s="50"/>
      <c r="AH86" s="161"/>
      <c r="AI86" s="162"/>
      <c r="AJ86" s="47"/>
      <c r="AK86" s="497"/>
      <c r="AL86" s="48"/>
      <c r="AM86" s="48"/>
      <c r="AN86" s="49"/>
      <c r="AO86" s="50"/>
      <c r="AP86" s="161"/>
      <c r="AQ86" s="162"/>
      <c r="AR86" s="47"/>
      <c r="AS86" s="497"/>
      <c r="AT86" s="48"/>
      <c r="AU86" s="48"/>
      <c r="AV86" s="49"/>
      <c r="AW86" s="403"/>
    </row>
    <row r="87" spans="1:49" s="3" customFormat="1" ht="18" customHeight="1" x14ac:dyDescent="0.15">
      <c r="A87" s="402"/>
      <c r="B87" s="161" t="str">
        <f t="shared" si="31"/>
        <v>Je</v>
      </c>
      <c r="C87" s="162">
        <f>+C85+1</f>
        <v>44385</v>
      </c>
      <c r="D87" s="47" t="str">
        <f t="shared" si="32"/>
        <v/>
      </c>
      <c r="E87" s="497" t="str">
        <f t="shared" si="33"/>
        <v/>
      </c>
      <c r="F87" s="48" t="str">
        <f t="shared" si="34"/>
        <v/>
      </c>
      <c r="G87" s="48">
        <f t="shared" si="55"/>
        <v>189</v>
      </c>
      <c r="H87" s="49" t="str">
        <f>IF(C87="","",IF(MOD(C87-2,7),"",INT((9+C87-MOD(C87-2,7)-DATE(YEAR(3+C87-MOD(C87-2,7)),1,))/7)))</f>
        <v/>
      </c>
      <c r="I87" s="50"/>
      <c r="J87" s="161" t="str">
        <f t="shared" si="35"/>
        <v>Di</v>
      </c>
      <c r="K87" s="162">
        <f>+K85+1</f>
        <v>44416</v>
      </c>
      <c r="L87" s="47" t="str">
        <f t="shared" si="36"/>
        <v/>
      </c>
      <c r="M87" s="497" t="str">
        <f t="shared" si="37"/>
        <v>🌑</v>
      </c>
      <c r="N87" s="48" t="str">
        <f t="shared" si="38"/>
        <v/>
      </c>
      <c r="O87" s="48">
        <f t="shared" si="56"/>
        <v>220</v>
      </c>
      <c r="P87" s="49" t="str">
        <f>IF(K87="","",IF(MOD(K87-2,7),"",INT((9+K87-MOD(K87-2,7)-DATE(YEAR(3+K87-MOD(K87-2,7)),1,))/7)))</f>
        <v/>
      </c>
      <c r="Q87" s="50"/>
      <c r="R87" s="161" t="str">
        <f t="shared" si="39"/>
        <v>Me</v>
      </c>
      <c r="S87" s="162">
        <f>+S85+1</f>
        <v>44447</v>
      </c>
      <c r="T87" s="47" t="str">
        <f t="shared" si="40"/>
        <v/>
      </c>
      <c r="U87" s="497" t="str">
        <f t="shared" si="41"/>
        <v/>
      </c>
      <c r="V87" s="48" t="str">
        <f t="shared" si="42"/>
        <v/>
      </c>
      <c r="W87" s="48">
        <f t="shared" si="57"/>
        <v>251</v>
      </c>
      <c r="X87" s="49" t="str">
        <f>IF(S87="","",IF(MOD(S87-2,7),"",INT((9+S87-MOD(S87-2,7)-DATE(YEAR(3+S87-MOD(S87-2,7)),1,))/7)))</f>
        <v/>
      </c>
      <c r="Y87" s="50"/>
      <c r="Z87" s="161" t="str">
        <f t="shared" si="43"/>
        <v>Ve</v>
      </c>
      <c r="AA87" s="162">
        <f>+AA85+1</f>
        <v>44477</v>
      </c>
      <c r="AB87" s="47" t="str">
        <f t="shared" si="44"/>
        <v/>
      </c>
      <c r="AC87" s="497" t="str">
        <f t="shared" si="45"/>
        <v/>
      </c>
      <c r="AD87" s="48" t="str">
        <f t="shared" si="46"/>
        <v/>
      </c>
      <c r="AE87" s="48">
        <f t="shared" si="58"/>
        <v>281</v>
      </c>
      <c r="AF87" s="49" t="str">
        <f>IF(AA87="","",IF(MOD(AA87-2,7),"",INT((9+AA87-MOD(AA87-2,7)-DATE(YEAR(3+AA87-MOD(AA87-2,7)),1,))/7)))</f>
        <v/>
      </c>
      <c r="AG87" s="50"/>
      <c r="AH87" s="161" t="str">
        <f t="shared" si="47"/>
        <v>Lu</v>
      </c>
      <c r="AI87" s="162">
        <f>+AI85+1</f>
        <v>44508</v>
      </c>
      <c r="AJ87" s="47" t="str">
        <f t="shared" si="48"/>
        <v/>
      </c>
      <c r="AK87" s="497" t="str">
        <f t="shared" si="49"/>
        <v/>
      </c>
      <c r="AL87" s="48" t="str">
        <f t="shared" si="50"/>
        <v/>
      </c>
      <c r="AM87" s="48">
        <f t="shared" si="59"/>
        <v>312</v>
      </c>
      <c r="AN87" s="49">
        <f>IF(AI87="","",IF(MOD(AI87-2,7),"",INT((9+AI87-MOD(AI87-2,7)-DATE(YEAR(3+AI87-MOD(AI87-2,7)),1,))/7)))</f>
        <v>45</v>
      </c>
      <c r="AO87" s="50"/>
      <c r="AP87" s="161" t="str">
        <f t="shared" si="51"/>
        <v>Me</v>
      </c>
      <c r="AQ87" s="162">
        <f>+AQ85+1</f>
        <v>44538</v>
      </c>
      <c r="AR87" s="47" t="str">
        <f t="shared" si="52"/>
        <v/>
      </c>
      <c r="AS87" s="497" t="str">
        <f t="shared" si="53"/>
        <v/>
      </c>
      <c r="AT87" s="48" t="str">
        <f t="shared" si="54"/>
        <v/>
      </c>
      <c r="AU87" s="48">
        <f t="shared" si="60"/>
        <v>342</v>
      </c>
      <c r="AV87" s="49" t="str">
        <f t="shared" si="61"/>
        <v/>
      </c>
      <c r="AW87" s="403"/>
    </row>
    <row r="88" spans="1:49" s="3" customFormat="1" ht="4" customHeight="1" x14ac:dyDescent="0.15">
      <c r="A88" s="402"/>
      <c r="B88" s="161"/>
      <c r="C88" s="162"/>
      <c r="D88" s="47"/>
      <c r="E88" s="497"/>
      <c r="F88" s="48"/>
      <c r="G88" s="48"/>
      <c r="H88" s="49"/>
      <c r="I88" s="50"/>
      <c r="J88" s="161"/>
      <c r="K88" s="162"/>
      <c r="L88" s="47"/>
      <c r="M88" s="497"/>
      <c r="N88" s="48"/>
      <c r="O88" s="48"/>
      <c r="P88" s="49"/>
      <c r="Q88" s="50"/>
      <c r="R88" s="161"/>
      <c r="S88" s="162"/>
      <c r="T88" s="47"/>
      <c r="U88" s="497"/>
      <c r="V88" s="48"/>
      <c r="W88" s="48"/>
      <c r="X88" s="49"/>
      <c r="Y88" s="50"/>
      <c r="Z88" s="161"/>
      <c r="AA88" s="162"/>
      <c r="AB88" s="47"/>
      <c r="AC88" s="497"/>
      <c r="AD88" s="48"/>
      <c r="AE88" s="48"/>
      <c r="AF88" s="49"/>
      <c r="AG88" s="50"/>
      <c r="AH88" s="161"/>
      <c r="AI88" s="162"/>
      <c r="AJ88" s="47"/>
      <c r="AK88" s="497"/>
      <c r="AL88" s="48"/>
      <c r="AM88" s="48"/>
      <c r="AN88" s="49"/>
      <c r="AO88" s="50"/>
      <c r="AP88" s="161"/>
      <c r="AQ88" s="162"/>
      <c r="AR88" s="47"/>
      <c r="AS88" s="497"/>
      <c r="AT88" s="48"/>
      <c r="AU88" s="48"/>
      <c r="AV88" s="49"/>
      <c r="AW88" s="403"/>
    </row>
    <row r="89" spans="1:49" s="3" customFormat="1" ht="18" customHeight="1" x14ac:dyDescent="0.15">
      <c r="A89" s="402"/>
      <c r="B89" s="161" t="str">
        <f t="shared" si="31"/>
        <v>Ve</v>
      </c>
      <c r="C89" s="162">
        <f>+C87+1</f>
        <v>44386</v>
      </c>
      <c r="D89" s="47" t="str">
        <f t="shared" si="32"/>
        <v/>
      </c>
      <c r="E89" s="497" t="str">
        <f t="shared" si="33"/>
        <v/>
      </c>
      <c r="F89" s="48" t="str">
        <f t="shared" si="34"/>
        <v/>
      </c>
      <c r="G89" s="48">
        <f t="shared" si="55"/>
        <v>190</v>
      </c>
      <c r="H89" s="49" t="str">
        <f>IF(C89="","",IF(MOD(C89-2,7),"",INT((9+C89-MOD(C89-2,7)-DATE(YEAR(3+C89-MOD(C89-2,7)),1,))/7)))</f>
        <v/>
      </c>
      <c r="I89" s="50"/>
      <c r="J89" s="161" t="str">
        <f t="shared" si="35"/>
        <v>Lu</v>
      </c>
      <c r="K89" s="162">
        <f>+K87+1</f>
        <v>44417</v>
      </c>
      <c r="L89" s="47" t="str">
        <f t="shared" si="36"/>
        <v/>
      </c>
      <c r="M89" s="497" t="str">
        <f t="shared" si="37"/>
        <v/>
      </c>
      <c r="N89" s="48" t="str">
        <f t="shared" si="38"/>
        <v/>
      </c>
      <c r="O89" s="48">
        <f t="shared" si="56"/>
        <v>221</v>
      </c>
      <c r="P89" s="49">
        <f>IF(K89="","",IF(MOD(K89-2,7),"",INT((9+K89-MOD(K89-2,7)-DATE(YEAR(3+K89-MOD(K89-2,7)),1,))/7)))</f>
        <v>32</v>
      </c>
      <c r="Q89" s="50"/>
      <c r="R89" s="161" t="str">
        <f t="shared" si="39"/>
        <v>Je</v>
      </c>
      <c r="S89" s="162">
        <f>+S87+1</f>
        <v>44448</v>
      </c>
      <c r="T89" s="47" t="str">
        <f t="shared" si="40"/>
        <v/>
      </c>
      <c r="U89" s="497" t="str">
        <f t="shared" si="41"/>
        <v/>
      </c>
      <c r="V89" s="48" t="str">
        <f t="shared" si="42"/>
        <v/>
      </c>
      <c r="W89" s="48">
        <f t="shared" si="57"/>
        <v>252</v>
      </c>
      <c r="X89" s="49" t="str">
        <f>IF(S89="","",IF(MOD(S89-2,7),"",INT((9+S89-MOD(S89-2,7)-DATE(YEAR(3+S89-MOD(S89-2,7)),1,))/7)))</f>
        <v/>
      </c>
      <c r="Y89" s="50"/>
      <c r="Z89" s="161" t="str">
        <f t="shared" si="43"/>
        <v>Sa</v>
      </c>
      <c r="AA89" s="162">
        <f>+AA87+1</f>
        <v>44478</v>
      </c>
      <c r="AB89" s="47" t="str">
        <f t="shared" si="44"/>
        <v/>
      </c>
      <c r="AC89" s="497" t="str">
        <f t="shared" si="45"/>
        <v/>
      </c>
      <c r="AD89" s="48" t="str">
        <f t="shared" si="46"/>
        <v/>
      </c>
      <c r="AE89" s="48">
        <f t="shared" si="58"/>
        <v>282</v>
      </c>
      <c r="AF89" s="49" t="str">
        <f>IF(AA89="","",IF(MOD(AA89-2,7),"",INT((9+AA89-MOD(AA89-2,7)-DATE(YEAR(3+AA89-MOD(AA89-2,7)),1,))/7)))</f>
        <v/>
      </c>
      <c r="AG89" s="50"/>
      <c r="AH89" s="161" t="str">
        <f t="shared" si="47"/>
        <v>Ma</v>
      </c>
      <c r="AI89" s="162">
        <f>+AI87+1</f>
        <v>44509</v>
      </c>
      <c r="AJ89" s="47" t="str">
        <f t="shared" si="48"/>
        <v/>
      </c>
      <c r="AK89" s="497" t="str">
        <f t="shared" si="49"/>
        <v/>
      </c>
      <c r="AL89" s="48" t="str">
        <f t="shared" si="50"/>
        <v/>
      </c>
      <c r="AM89" s="48">
        <f t="shared" si="59"/>
        <v>313</v>
      </c>
      <c r="AN89" s="49" t="str">
        <f>IF(AI89="","",IF(MOD(AI89-2,7),"",INT((9+AI89-MOD(AI89-2,7)-DATE(YEAR(3+AI89-MOD(AI89-2,7)),1,))/7)))</f>
        <v/>
      </c>
      <c r="AO89" s="50"/>
      <c r="AP89" s="161" t="str">
        <f t="shared" si="51"/>
        <v>Je</v>
      </c>
      <c r="AQ89" s="162">
        <f>+AQ87+1</f>
        <v>44539</v>
      </c>
      <c r="AR89" s="47" t="str">
        <f t="shared" si="52"/>
        <v/>
      </c>
      <c r="AS89" s="497" t="str">
        <f t="shared" si="53"/>
        <v/>
      </c>
      <c r="AT89" s="48" t="str">
        <f t="shared" si="54"/>
        <v/>
      </c>
      <c r="AU89" s="48">
        <f t="shared" si="60"/>
        <v>343</v>
      </c>
      <c r="AV89" s="49" t="str">
        <f t="shared" si="61"/>
        <v/>
      </c>
      <c r="AW89" s="403"/>
    </row>
    <row r="90" spans="1:49" s="3" customFormat="1" ht="4" customHeight="1" x14ac:dyDescent="0.15">
      <c r="A90" s="402"/>
      <c r="B90" s="161"/>
      <c r="C90" s="162"/>
      <c r="D90" s="47"/>
      <c r="E90" s="497"/>
      <c r="F90" s="48"/>
      <c r="G90" s="48"/>
      <c r="H90" s="49"/>
      <c r="I90" s="50"/>
      <c r="J90" s="161"/>
      <c r="K90" s="162"/>
      <c r="L90" s="47"/>
      <c r="M90" s="497"/>
      <c r="N90" s="48"/>
      <c r="O90" s="48"/>
      <c r="P90" s="49"/>
      <c r="Q90" s="50"/>
      <c r="R90" s="161"/>
      <c r="S90" s="162"/>
      <c r="T90" s="47"/>
      <c r="U90" s="497"/>
      <c r="V90" s="48"/>
      <c r="W90" s="48"/>
      <c r="X90" s="49"/>
      <c r="Y90" s="50"/>
      <c r="Z90" s="161"/>
      <c r="AA90" s="162"/>
      <c r="AB90" s="47"/>
      <c r="AC90" s="497"/>
      <c r="AD90" s="48"/>
      <c r="AE90" s="48"/>
      <c r="AF90" s="49"/>
      <c r="AG90" s="50"/>
      <c r="AH90" s="161"/>
      <c r="AI90" s="162"/>
      <c r="AJ90" s="47"/>
      <c r="AK90" s="497"/>
      <c r="AL90" s="48"/>
      <c r="AM90" s="48"/>
      <c r="AN90" s="49"/>
      <c r="AO90" s="50"/>
      <c r="AP90" s="161"/>
      <c r="AQ90" s="162"/>
      <c r="AR90" s="47"/>
      <c r="AS90" s="497"/>
      <c r="AT90" s="48"/>
      <c r="AU90" s="48"/>
      <c r="AV90" s="49"/>
      <c r="AW90" s="403"/>
    </row>
    <row r="91" spans="1:49" s="3" customFormat="1" ht="18" customHeight="1" x14ac:dyDescent="0.15">
      <c r="A91" s="402"/>
      <c r="B91" s="161" t="str">
        <f t="shared" si="31"/>
        <v>Sa</v>
      </c>
      <c r="C91" s="162">
        <f>+C89+1</f>
        <v>44387</v>
      </c>
      <c r="D91" s="47" t="str">
        <f t="shared" si="32"/>
        <v/>
      </c>
      <c r="E91" s="497" t="str">
        <f t="shared" si="33"/>
        <v>🌑</v>
      </c>
      <c r="F91" s="48" t="str">
        <f t="shared" si="34"/>
        <v/>
      </c>
      <c r="G91" s="48">
        <f t="shared" si="55"/>
        <v>191</v>
      </c>
      <c r="H91" s="49" t="str">
        <f>IF(C91="","",IF(MOD(C91-2,7),"",INT((9+C91-MOD(C91-2,7)-DATE(YEAR(3+C91-MOD(C91-2,7)),1,))/7)))</f>
        <v/>
      </c>
      <c r="I91" s="50"/>
      <c r="J91" s="161" t="str">
        <f t="shared" si="35"/>
        <v>Ma</v>
      </c>
      <c r="K91" s="162">
        <f>+K89+1</f>
        <v>44418</v>
      </c>
      <c r="L91" s="47" t="str">
        <f t="shared" si="36"/>
        <v/>
      </c>
      <c r="M91" s="497" t="str">
        <f t="shared" si="37"/>
        <v/>
      </c>
      <c r="N91" s="48" t="str">
        <f t="shared" si="38"/>
        <v/>
      </c>
      <c r="O91" s="48">
        <f t="shared" si="56"/>
        <v>222</v>
      </c>
      <c r="P91" s="49" t="str">
        <f>IF(K91="","",IF(MOD(K91-2,7),"",INT((9+K91-MOD(K91-2,7)-DATE(YEAR(3+K91-MOD(K91-2,7)),1,))/7)))</f>
        <v/>
      </c>
      <c r="Q91" s="50"/>
      <c r="R91" s="161" t="str">
        <f t="shared" si="39"/>
        <v>Ve</v>
      </c>
      <c r="S91" s="162">
        <f>+S89+1</f>
        <v>44449</v>
      </c>
      <c r="T91" s="47" t="str">
        <f t="shared" si="40"/>
        <v/>
      </c>
      <c r="U91" s="497" t="str">
        <f t="shared" si="41"/>
        <v/>
      </c>
      <c r="V91" s="48" t="str">
        <f t="shared" si="42"/>
        <v/>
      </c>
      <c r="W91" s="48">
        <f t="shared" si="57"/>
        <v>253</v>
      </c>
      <c r="X91" s="49" t="str">
        <f>IF(S91="","",IF(MOD(S91-2,7),"",INT((9+S91-MOD(S91-2,7)-DATE(YEAR(3+S91-MOD(S91-2,7)),1,))/7)))</f>
        <v/>
      </c>
      <c r="Y91" s="50"/>
      <c r="Z91" s="161" t="str">
        <f t="shared" si="43"/>
        <v>Di</v>
      </c>
      <c r="AA91" s="162">
        <f>+AA89+1</f>
        <v>44479</v>
      </c>
      <c r="AB91" s="47" t="str">
        <f t="shared" si="44"/>
        <v/>
      </c>
      <c r="AC91" s="497" t="str">
        <f t="shared" si="45"/>
        <v/>
      </c>
      <c r="AD91" s="48" t="str">
        <f t="shared" si="46"/>
        <v/>
      </c>
      <c r="AE91" s="48">
        <f t="shared" si="58"/>
        <v>283</v>
      </c>
      <c r="AF91" s="49" t="str">
        <f>IF(AA91="","",IF(MOD(AA91-2,7),"",INT((9+AA91-MOD(AA91-2,7)-DATE(YEAR(3+AA91-MOD(AA91-2,7)),1,))/7)))</f>
        <v/>
      </c>
      <c r="AG91" s="50"/>
      <c r="AH91" s="161" t="str">
        <f t="shared" si="47"/>
        <v>Me</v>
      </c>
      <c r="AI91" s="162">
        <f>+AI89+1</f>
        <v>44510</v>
      </c>
      <c r="AJ91" s="47" t="str">
        <f t="shared" si="48"/>
        <v/>
      </c>
      <c r="AK91" s="497" t="str">
        <f t="shared" si="49"/>
        <v/>
      </c>
      <c r="AL91" s="48" t="str">
        <f t="shared" si="50"/>
        <v/>
      </c>
      <c r="AM91" s="48">
        <f t="shared" si="59"/>
        <v>314</v>
      </c>
      <c r="AN91" s="49" t="str">
        <f>IF(AI91="","",IF(MOD(AI91-2,7),"",INT((9+AI91-MOD(AI91-2,7)-DATE(YEAR(3+AI91-MOD(AI91-2,7)),1,))/7)))</f>
        <v/>
      </c>
      <c r="AO91" s="50"/>
      <c r="AP91" s="161" t="str">
        <f t="shared" si="51"/>
        <v>Ve</v>
      </c>
      <c r="AQ91" s="162">
        <f>+AQ89+1</f>
        <v>44540</v>
      </c>
      <c r="AR91" s="47" t="str">
        <f t="shared" si="52"/>
        <v/>
      </c>
      <c r="AS91" s="497" t="str">
        <f t="shared" si="53"/>
        <v/>
      </c>
      <c r="AT91" s="48" t="str">
        <f t="shared" si="54"/>
        <v/>
      </c>
      <c r="AU91" s="48">
        <f t="shared" si="60"/>
        <v>344</v>
      </c>
      <c r="AV91" s="49" t="str">
        <f t="shared" si="61"/>
        <v/>
      </c>
      <c r="AW91" s="403"/>
    </row>
    <row r="92" spans="1:49" s="3" customFormat="1" ht="4" customHeight="1" x14ac:dyDescent="0.15">
      <c r="A92" s="402"/>
      <c r="B92" s="161"/>
      <c r="C92" s="162"/>
      <c r="D92" s="47"/>
      <c r="E92" s="497"/>
      <c r="F92" s="48"/>
      <c r="G92" s="48"/>
      <c r="H92" s="49"/>
      <c r="I92" s="50"/>
      <c r="J92" s="161"/>
      <c r="K92" s="162"/>
      <c r="L92" s="47"/>
      <c r="M92" s="497"/>
      <c r="N92" s="48"/>
      <c r="O92" s="48"/>
      <c r="P92" s="49"/>
      <c r="Q92" s="50"/>
      <c r="R92" s="161"/>
      <c r="S92" s="162"/>
      <c r="T92" s="47"/>
      <c r="U92" s="497"/>
      <c r="V92" s="48"/>
      <c r="W92" s="48"/>
      <c r="X92" s="49"/>
      <c r="Y92" s="50"/>
      <c r="Z92" s="161"/>
      <c r="AA92" s="162"/>
      <c r="AB92" s="47"/>
      <c r="AC92" s="497"/>
      <c r="AD92" s="48"/>
      <c r="AE92" s="48"/>
      <c r="AF92" s="49"/>
      <c r="AG92" s="50"/>
      <c r="AH92" s="161"/>
      <c r="AI92" s="162"/>
      <c r="AJ92" s="47"/>
      <c r="AK92" s="497"/>
      <c r="AL92" s="48"/>
      <c r="AM92" s="48"/>
      <c r="AN92" s="49"/>
      <c r="AO92" s="50"/>
      <c r="AP92" s="161"/>
      <c r="AQ92" s="162"/>
      <c r="AR92" s="47"/>
      <c r="AS92" s="497"/>
      <c r="AT92" s="48"/>
      <c r="AU92" s="48"/>
      <c r="AV92" s="49"/>
      <c r="AW92" s="403"/>
    </row>
    <row r="93" spans="1:49" s="3" customFormat="1" ht="18" customHeight="1" x14ac:dyDescent="0.15">
      <c r="A93" s="402"/>
      <c r="B93" s="161" t="str">
        <f t="shared" si="31"/>
        <v>Di</v>
      </c>
      <c r="C93" s="162">
        <f>+C91+1</f>
        <v>44388</v>
      </c>
      <c r="D93" s="47" t="str">
        <f t="shared" si="32"/>
        <v/>
      </c>
      <c r="E93" s="497" t="str">
        <f t="shared" si="33"/>
        <v/>
      </c>
      <c r="F93" s="48" t="str">
        <f t="shared" si="34"/>
        <v/>
      </c>
      <c r="G93" s="48">
        <f t="shared" si="55"/>
        <v>192</v>
      </c>
      <c r="H93" s="49" t="str">
        <f>IF(C93="","",IF(MOD(C93-2,7),"",INT((9+C93-MOD(C93-2,7)-DATE(YEAR(3+C93-MOD(C93-2,7)),1,))/7)))</f>
        <v/>
      </c>
      <c r="I93" s="50"/>
      <c r="J93" s="161" t="str">
        <f t="shared" si="35"/>
        <v>Me</v>
      </c>
      <c r="K93" s="162">
        <f>+K91+1</f>
        <v>44419</v>
      </c>
      <c r="L93" s="47" t="str">
        <f t="shared" si="36"/>
        <v/>
      </c>
      <c r="M93" s="497" t="str">
        <f t="shared" si="37"/>
        <v/>
      </c>
      <c r="N93" s="48" t="str">
        <f t="shared" si="38"/>
        <v/>
      </c>
      <c r="O93" s="48">
        <f t="shared" si="56"/>
        <v>223</v>
      </c>
      <c r="P93" s="49" t="str">
        <f>IF(K93="","",IF(MOD(K93-2,7),"",INT((9+K93-MOD(K93-2,7)-DATE(YEAR(3+K93-MOD(K93-2,7)),1,))/7)))</f>
        <v/>
      </c>
      <c r="Q93" s="50"/>
      <c r="R93" s="161" t="str">
        <f t="shared" si="39"/>
        <v>Sa</v>
      </c>
      <c r="S93" s="162">
        <f>+S91+1</f>
        <v>44450</v>
      </c>
      <c r="T93" s="47" t="str">
        <f t="shared" si="40"/>
        <v/>
      </c>
      <c r="U93" s="497" t="str">
        <f t="shared" si="41"/>
        <v/>
      </c>
      <c r="V93" s="48" t="str">
        <f t="shared" si="42"/>
        <v/>
      </c>
      <c r="W93" s="48">
        <f t="shared" si="57"/>
        <v>254</v>
      </c>
      <c r="X93" s="49" t="str">
        <f>IF(S93="","",IF(MOD(S93-2,7),"",INT((9+S93-MOD(S93-2,7)-DATE(YEAR(3+S93-MOD(S93-2,7)),1,))/7)))</f>
        <v/>
      </c>
      <c r="Y93" s="50"/>
      <c r="Z93" s="161" t="str">
        <f t="shared" si="43"/>
        <v>Lu</v>
      </c>
      <c r="AA93" s="162">
        <f>+AA91+1</f>
        <v>44480</v>
      </c>
      <c r="AB93" s="47" t="str">
        <f t="shared" si="44"/>
        <v/>
      </c>
      <c r="AC93" s="497" t="str">
        <f t="shared" si="45"/>
        <v/>
      </c>
      <c r="AD93" s="48" t="str">
        <f t="shared" si="46"/>
        <v/>
      </c>
      <c r="AE93" s="48">
        <f t="shared" si="58"/>
        <v>284</v>
      </c>
      <c r="AF93" s="49">
        <f>IF(AA93="","",IF(MOD(AA93-2,7),"",INT((9+AA93-MOD(AA93-2,7)-DATE(YEAR(3+AA93-MOD(AA93-2,7)),1,))/7)))</f>
        <v>41</v>
      </c>
      <c r="AG93" s="50"/>
      <c r="AH93" s="161" t="str">
        <f t="shared" si="47"/>
        <v>Je</v>
      </c>
      <c r="AI93" s="162">
        <f>+AI91+1</f>
        <v>44511</v>
      </c>
      <c r="AJ93" s="47" t="str">
        <f t="shared" si="48"/>
        <v>F</v>
      </c>
      <c r="AK93" s="497" t="str">
        <f t="shared" si="49"/>
        <v>🌓</v>
      </c>
      <c r="AL93" s="48" t="str">
        <f t="shared" si="50"/>
        <v>Armistice 1918</v>
      </c>
      <c r="AM93" s="48">
        <f t="shared" si="59"/>
        <v>315</v>
      </c>
      <c r="AN93" s="49" t="str">
        <f>IF(AI93="","",IF(MOD(AI93-2,7),"",INT((9+AI93-MOD(AI93-2,7)-DATE(YEAR(3+AI93-MOD(AI93-2,7)),1,))/7)))</f>
        <v/>
      </c>
      <c r="AO93" s="50"/>
      <c r="AP93" s="161" t="str">
        <f t="shared" si="51"/>
        <v>Sa</v>
      </c>
      <c r="AQ93" s="162">
        <f>+AQ91+1</f>
        <v>44541</v>
      </c>
      <c r="AR93" s="47" t="str">
        <f t="shared" si="52"/>
        <v/>
      </c>
      <c r="AS93" s="497" t="str">
        <f t="shared" si="53"/>
        <v>🌓</v>
      </c>
      <c r="AT93" s="48" t="str">
        <f t="shared" si="54"/>
        <v/>
      </c>
      <c r="AU93" s="48">
        <f t="shared" si="60"/>
        <v>345</v>
      </c>
      <c r="AV93" s="49" t="str">
        <f t="shared" si="61"/>
        <v/>
      </c>
      <c r="AW93" s="403"/>
    </row>
    <row r="94" spans="1:49" s="3" customFormat="1" ht="4" customHeight="1" x14ac:dyDescent="0.15">
      <c r="A94" s="402"/>
      <c r="B94" s="161"/>
      <c r="C94" s="162"/>
      <c r="D94" s="47"/>
      <c r="E94" s="497"/>
      <c r="F94" s="48"/>
      <c r="G94" s="48"/>
      <c r="H94" s="49"/>
      <c r="I94" s="50"/>
      <c r="J94" s="161"/>
      <c r="K94" s="162"/>
      <c r="L94" s="47"/>
      <c r="M94" s="497"/>
      <c r="N94" s="48"/>
      <c r="O94" s="48"/>
      <c r="P94" s="49"/>
      <c r="Q94" s="50"/>
      <c r="R94" s="161"/>
      <c r="S94" s="162"/>
      <c r="T94" s="47"/>
      <c r="U94" s="497"/>
      <c r="V94" s="48"/>
      <c r="W94" s="48"/>
      <c r="X94" s="49"/>
      <c r="Y94" s="50"/>
      <c r="Z94" s="161"/>
      <c r="AA94" s="162"/>
      <c r="AB94" s="47"/>
      <c r="AC94" s="497"/>
      <c r="AD94" s="48"/>
      <c r="AE94" s="48"/>
      <c r="AF94" s="49"/>
      <c r="AG94" s="50"/>
      <c r="AH94" s="161"/>
      <c r="AI94" s="162"/>
      <c r="AJ94" s="47"/>
      <c r="AK94" s="497"/>
      <c r="AL94" s="48"/>
      <c r="AM94" s="48"/>
      <c r="AN94" s="49"/>
      <c r="AO94" s="50"/>
      <c r="AP94" s="161"/>
      <c r="AQ94" s="162"/>
      <c r="AR94" s="47"/>
      <c r="AS94" s="497"/>
      <c r="AT94" s="48"/>
      <c r="AU94" s="48"/>
      <c r="AV94" s="49"/>
      <c r="AW94" s="403"/>
    </row>
    <row r="95" spans="1:49" s="3" customFormat="1" ht="18" customHeight="1" x14ac:dyDescent="0.15">
      <c r="A95" s="402"/>
      <c r="B95" s="161" t="str">
        <f t="shared" si="31"/>
        <v>Lu</v>
      </c>
      <c r="C95" s="162">
        <f>+C93+1</f>
        <v>44389</v>
      </c>
      <c r="D95" s="47" t="str">
        <f t="shared" si="32"/>
        <v/>
      </c>
      <c r="E95" s="497" t="str">
        <f t="shared" si="33"/>
        <v/>
      </c>
      <c r="F95" s="48" t="str">
        <f t="shared" si="34"/>
        <v/>
      </c>
      <c r="G95" s="48">
        <f t="shared" si="55"/>
        <v>193</v>
      </c>
      <c r="H95" s="49">
        <f>IF(C95="","",IF(MOD(C95-2,7),"",INT((9+C95-MOD(C95-2,7)-DATE(YEAR(3+C95-MOD(C95-2,7)),1,))/7)))</f>
        <v>28</v>
      </c>
      <c r="I95" s="50"/>
      <c r="J95" s="161" t="str">
        <f t="shared" si="35"/>
        <v>Je</v>
      </c>
      <c r="K95" s="162">
        <f>+K93+1</f>
        <v>44420</v>
      </c>
      <c r="L95" s="47" t="str">
        <f t="shared" si="36"/>
        <v/>
      </c>
      <c r="M95" s="497" t="str">
        <f t="shared" si="37"/>
        <v/>
      </c>
      <c r="N95" s="48" t="str">
        <f t="shared" si="38"/>
        <v/>
      </c>
      <c r="O95" s="48">
        <f t="shared" si="56"/>
        <v>224</v>
      </c>
      <c r="P95" s="49" t="str">
        <f>IF(K95="","",IF(MOD(K95-2,7),"",INT((9+K95-MOD(K95-2,7)-DATE(YEAR(3+K95-MOD(K95-2,7)),1,))/7)))</f>
        <v/>
      </c>
      <c r="Q95" s="50"/>
      <c r="R95" s="161" t="str">
        <f t="shared" si="39"/>
        <v>Di</v>
      </c>
      <c r="S95" s="162">
        <f>+S93+1</f>
        <v>44451</v>
      </c>
      <c r="T95" s="47" t="str">
        <f t="shared" si="40"/>
        <v/>
      </c>
      <c r="U95" s="497" t="str">
        <f t="shared" si="41"/>
        <v/>
      </c>
      <c r="V95" s="48" t="str">
        <f t="shared" si="42"/>
        <v/>
      </c>
      <c r="W95" s="48">
        <f t="shared" si="57"/>
        <v>255</v>
      </c>
      <c r="X95" s="49" t="str">
        <f>IF(S95="","",IF(MOD(S95-2,7),"",INT((9+S95-MOD(S95-2,7)-DATE(YEAR(3+S95-MOD(S95-2,7)),1,))/7)))</f>
        <v/>
      </c>
      <c r="Y95" s="50"/>
      <c r="Z95" s="161" t="str">
        <f t="shared" si="43"/>
        <v>Ma</v>
      </c>
      <c r="AA95" s="162">
        <f>+AA93+1</f>
        <v>44481</v>
      </c>
      <c r="AB95" s="47" t="str">
        <f t="shared" si="44"/>
        <v/>
      </c>
      <c r="AC95" s="497" t="str">
        <f t="shared" si="45"/>
        <v/>
      </c>
      <c r="AD95" s="48" t="str">
        <f t="shared" si="46"/>
        <v/>
      </c>
      <c r="AE95" s="48">
        <f t="shared" si="58"/>
        <v>285</v>
      </c>
      <c r="AF95" s="49" t="str">
        <f>IF(AA95="","",IF(MOD(AA95-2,7),"",INT((9+AA95-MOD(AA95-2,7)-DATE(YEAR(3+AA95-MOD(AA95-2,7)),1,))/7)))</f>
        <v/>
      </c>
      <c r="AG95" s="50"/>
      <c r="AH95" s="161" t="str">
        <f t="shared" si="47"/>
        <v>Ve</v>
      </c>
      <c r="AI95" s="162">
        <f>+AI93+1</f>
        <v>44512</v>
      </c>
      <c r="AJ95" s="47" t="str">
        <f t="shared" si="48"/>
        <v/>
      </c>
      <c r="AK95" s="497" t="str">
        <f t="shared" si="49"/>
        <v/>
      </c>
      <c r="AL95" s="48" t="str">
        <f t="shared" si="50"/>
        <v/>
      </c>
      <c r="AM95" s="48">
        <f t="shared" si="59"/>
        <v>316</v>
      </c>
      <c r="AN95" s="49" t="str">
        <f>IF(AI95="","",IF(MOD(AI95-2,7),"",INT((9+AI95-MOD(AI95-2,7)-DATE(YEAR(3+AI95-MOD(AI95-2,7)),1,))/7)))</f>
        <v/>
      </c>
      <c r="AO95" s="50"/>
      <c r="AP95" s="161" t="str">
        <f t="shared" si="51"/>
        <v>Di</v>
      </c>
      <c r="AQ95" s="162">
        <f>+AQ93+1</f>
        <v>44542</v>
      </c>
      <c r="AR95" s="47" t="str">
        <f t="shared" si="52"/>
        <v/>
      </c>
      <c r="AS95" s="497" t="str">
        <f t="shared" si="53"/>
        <v/>
      </c>
      <c r="AT95" s="48" t="str">
        <f t="shared" si="54"/>
        <v/>
      </c>
      <c r="AU95" s="48">
        <f t="shared" si="60"/>
        <v>346</v>
      </c>
      <c r="AV95" s="49" t="str">
        <f t="shared" si="61"/>
        <v/>
      </c>
      <c r="AW95" s="403"/>
    </row>
    <row r="96" spans="1:49" s="3" customFormat="1" ht="4" customHeight="1" x14ac:dyDescent="0.15">
      <c r="A96" s="402"/>
      <c r="B96" s="161"/>
      <c r="C96" s="162"/>
      <c r="D96" s="47"/>
      <c r="E96" s="497"/>
      <c r="F96" s="48"/>
      <c r="G96" s="48"/>
      <c r="H96" s="49"/>
      <c r="I96" s="50"/>
      <c r="J96" s="161"/>
      <c r="K96" s="162"/>
      <c r="L96" s="47"/>
      <c r="M96" s="497"/>
      <c r="N96" s="48"/>
      <c r="O96" s="48"/>
      <c r="P96" s="49"/>
      <c r="Q96" s="50"/>
      <c r="R96" s="161"/>
      <c r="S96" s="162"/>
      <c r="T96" s="47"/>
      <c r="U96" s="497"/>
      <c r="V96" s="48"/>
      <c r="W96" s="48"/>
      <c r="X96" s="49"/>
      <c r="Y96" s="50"/>
      <c r="Z96" s="161"/>
      <c r="AA96" s="162"/>
      <c r="AB96" s="47"/>
      <c r="AC96" s="497"/>
      <c r="AD96" s="48"/>
      <c r="AE96" s="48"/>
      <c r="AF96" s="49"/>
      <c r="AG96" s="50"/>
      <c r="AH96" s="161"/>
      <c r="AI96" s="162"/>
      <c r="AJ96" s="47"/>
      <c r="AK96" s="497"/>
      <c r="AL96" s="48"/>
      <c r="AM96" s="48"/>
      <c r="AN96" s="49"/>
      <c r="AO96" s="50"/>
      <c r="AP96" s="161"/>
      <c r="AQ96" s="162"/>
      <c r="AR96" s="47"/>
      <c r="AS96" s="497"/>
      <c r="AT96" s="48"/>
      <c r="AU96" s="48"/>
      <c r="AV96" s="49"/>
      <c r="AW96" s="403"/>
    </row>
    <row r="97" spans="1:49" s="3" customFormat="1" ht="18" customHeight="1" x14ac:dyDescent="0.15">
      <c r="A97" s="402"/>
      <c r="B97" s="161" t="str">
        <f t="shared" si="31"/>
        <v>Ma</v>
      </c>
      <c r="C97" s="162">
        <f>+C95+1</f>
        <v>44390</v>
      </c>
      <c r="D97" s="47" t="str">
        <f t="shared" si="32"/>
        <v/>
      </c>
      <c r="E97" s="497" t="str">
        <f t="shared" si="33"/>
        <v/>
      </c>
      <c r="F97" s="48" t="str">
        <f t="shared" si="34"/>
        <v/>
      </c>
      <c r="G97" s="48">
        <f t="shared" si="55"/>
        <v>194</v>
      </c>
      <c r="H97" s="49" t="str">
        <f>IF(C97="","",IF(MOD(C97-2,7),"",INT((9+C97-MOD(C97-2,7)-DATE(YEAR(3+C97-MOD(C97-2,7)),1,))/7)))</f>
        <v/>
      </c>
      <c r="I97" s="50"/>
      <c r="J97" s="161" t="str">
        <f t="shared" si="35"/>
        <v>Ve</v>
      </c>
      <c r="K97" s="162">
        <f>+K95+1</f>
        <v>44421</v>
      </c>
      <c r="L97" s="47" t="str">
        <f t="shared" si="36"/>
        <v/>
      </c>
      <c r="M97" s="497" t="str">
        <f t="shared" si="37"/>
        <v/>
      </c>
      <c r="N97" s="48" t="str">
        <f t="shared" si="38"/>
        <v/>
      </c>
      <c r="O97" s="48">
        <f t="shared" si="56"/>
        <v>225</v>
      </c>
      <c r="P97" s="49" t="str">
        <f>IF(K97="","",IF(MOD(K97-2,7),"",INT((9+K97-MOD(K97-2,7)-DATE(YEAR(3+K97-MOD(K97-2,7)),1,))/7)))</f>
        <v/>
      </c>
      <c r="Q97" s="50"/>
      <c r="R97" s="161" t="str">
        <f t="shared" si="39"/>
        <v>Lu</v>
      </c>
      <c r="S97" s="162">
        <f>+S95+1</f>
        <v>44452</v>
      </c>
      <c r="T97" s="47" t="str">
        <f t="shared" si="40"/>
        <v/>
      </c>
      <c r="U97" s="497" t="str">
        <f t="shared" si="41"/>
        <v>🌓</v>
      </c>
      <c r="V97" s="48" t="str">
        <f t="shared" si="42"/>
        <v/>
      </c>
      <c r="W97" s="48">
        <f t="shared" si="57"/>
        <v>256</v>
      </c>
      <c r="X97" s="49">
        <f>IF(S97="","",IF(MOD(S97-2,7),"",INT((9+S97-MOD(S97-2,7)-DATE(YEAR(3+S97-MOD(S97-2,7)),1,))/7)))</f>
        <v>37</v>
      </c>
      <c r="Y97" s="50"/>
      <c r="Z97" s="161" t="str">
        <f t="shared" si="43"/>
        <v>Me</v>
      </c>
      <c r="AA97" s="162">
        <f>+AA95+1</f>
        <v>44482</v>
      </c>
      <c r="AB97" s="47" t="str">
        <f t="shared" si="44"/>
        <v/>
      </c>
      <c r="AC97" s="497" t="str">
        <f t="shared" si="45"/>
        <v>🌓</v>
      </c>
      <c r="AD97" s="48" t="str">
        <f t="shared" si="46"/>
        <v/>
      </c>
      <c r="AE97" s="48">
        <f t="shared" si="58"/>
        <v>286</v>
      </c>
      <c r="AF97" s="49" t="str">
        <f>IF(AA97="","",IF(MOD(AA97-2,7),"",INT((9+AA97-MOD(AA97-2,7)-DATE(YEAR(3+AA97-MOD(AA97-2,7)),1,))/7)))</f>
        <v/>
      </c>
      <c r="AG97" s="50"/>
      <c r="AH97" s="161" t="str">
        <f t="shared" si="47"/>
        <v>Sa</v>
      </c>
      <c r="AI97" s="162">
        <f>+AI95+1</f>
        <v>44513</v>
      </c>
      <c r="AJ97" s="47" t="str">
        <f t="shared" si="48"/>
        <v/>
      </c>
      <c r="AK97" s="497" t="str">
        <f t="shared" si="49"/>
        <v/>
      </c>
      <c r="AL97" s="48" t="str">
        <f t="shared" si="50"/>
        <v/>
      </c>
      <c r="AM97" s="48">
        <f t="shared" si="59"/>
        <v>317</v>
      </c>
      <c r="AN97" s="49" t="str">
        <f>IF(AI97="","",IF(MOD(AI97-2,7),"",INT((9+AI97-MOD(AI97-2,7)-DATE(YEAR(3+AI97-MOD(AI97-2,7)),1,))/7)))</f>
        <v/>
      </c>
      <c r="AO97" s="50"/>
      <c r="AP97" s="161" t="str">
        <f t="shared" si="51"/>
        <v>Lu</v>
      </c>
      <c r="AQ97" s="162">
        <f>+AQ95+1</f>
        <v>44543</v>
      </c>
      <c r="AR97" s="47" t="str">
        <f t="shared" si="52"/>
        <v/>
      </c>
      <c r="AS97" s="497" t="str">
        <f t="shared" si="53"/>
        <v/>
      </c>
      <c r="AT97" s="48" t="str">
        <f t="shared" si="54"/>
        <v/>
      </c>
      <c r="AU97" s="48">
        <f t="shared" si="60"/>
        <v>347</v>
      </c>
      <c r="AV97" s="49">
        <f t="shared" si="61"/>
        <v>50</v>
      </c>
      <c r="AW97" s="403"/>
    </row>
    <row r="98" spans="1:49" s="3" customFormat="1" ht="4" customHeight="1" x14ac:dyDescent="0.15">
      <c r="A98" s="402"/>
      <c r="B98" s="161"/>
      <c r="C98" s="162"/>
      <c r="D98" s="47"/>
      <c r="E98" s="497"/>
      <c r="F98" s="48"/>
      <c r="G98" s="48"/>
      <c r="H98" s="49"/>
      <c r="I98" s="50"/>
      <c r="J98" s="161"/>
      <c r="K98" s="162"/>
      <c r="L98" s="47"/>
      <c r="M98" s="497"/>
      <c r="N98" s="48"/>
      <c r="O98" s="48"/>
      <c r="P98" s="49"/>
      <c r="Q98" s="50"/>
      <c r="R98" s="161"/>
      <c r="S98" s="162"/>
      <c r="T98" s="47"/>
      <c r="U98" s="497"/>
      <c r="V98" s="48"/>
      <c r="W98" s="48"/>
      <c r="X98" s="49"/>
      <c r="Y98" s="50"/>
      <c r="Z98" s="161"/>
      <c r="AA98" s="162"/>
      <c r="AB98" s="47"/>
      <c r="AC98" s="497"/>
      <c r="AD98" s="48"/>
      <c r="AE98" s="48"/>
      <c r="AF98" s="49"/>
      <c r="AG98" s="50"/>
      <c r="AH98" s="161"/>
      <c r="AI98" s="162"/>
      <c r="AJ98" s="47"/>
      <c r="AK98" s="497"/>
      <c r="AL98" s="48"/>
      <c r="AM98" s="48"/>
      <c r="AN98" s="49"/>
      <c r="AO98" s="50"/>
      <c r="AP98" s="161"/>
      <c r="AQ98" s="162"/>
      <c r="AR98" s="47"/>
      <c r="AS98" s="497"/>
      <c r="AT98" s="48"/>
      <c r="AU98" s="48"/>
      <c r="AV98" s="49"/>
      <c r="AW98" s="403"/>
    </row>
    <row r="99" spans="1:49" s="3" customFormat="1" ht="18" customHeight="1" x14ac:dyDescent="0.15">
      <c r="A99" s="402"/>
      <c r="B99" s="161" t="str">
        <f t="shared" si="31"/>
        <v>Me</v>
      </c>
      <c r="C99" s="162">
        <f>+C97+1</f>
        <v>44391</v>
      </c>
      <c r="D99" s="47" t="str">
        <f t="shared" si="32"/>
        <v>F</v>
      </c>
      <c r="E99" s="497" t="str">
        <f t="shared" si="33"/>
        <v/>
      </c>
      <c r="F99" s="48" t="str">
        <f t="shared" si="34"/>
        <v>Fête Nationale</v>
      </c>
      <c r="G99" s="48">
        <f t="shared" si="55"/>
        <v>195</v>
      </c>
      <c r="H99" s="49" t="str">
        <f>IF(C99="","",IF(MOD(C99-2,7),"",INT((9+C99-MOD(C99-2,7)-DATE(YEAR(3+C99-MOD(C99-2,7)),1,))/7)))</f>
        <v/>
      </c>
      <c r="I99" s="50"/>
      <c r="J99" s="161" t="str">
        <f t="shared" si="35"/>
        <v>Sa</v>
      </c>
      <c r="K99" s="162">
        <f>+K97+1</f>
        <v>44422</v>
      </c>
      <c r="L99" s="47" t="str">
        <f t="shared" si="36"/>
        <v/>
      </c>
      <c r="M99" s="497" t="str">
        <f t="shared" si="37"/>
        <v/>
      </c>
      <c r="N99" s="48" t="str">
        <f t="shared" si="38"/>
        <v/>
      </c>
      <c r="O99" s="48">
        <f t="shared" si="56"/>
        <v>226</v>
      </c>
      <c r="P99" s="49" t="str">
        <f>IF(K99="","",IF(MOD(K99-2,7),"",INT((9+K99-MOD(K99-2,7)-DATE(YEAR(3+K99-MOD(K99-2,7)),1,))/7)))</f>
        <v/>
      </c>
      <c r="Q99" s="50"/>
      <c r="R99" s="161" t="str">
        <f t="shared" si="39"/>
        <v>Ma</v>
      </c>
      <c r="S99" s="162">
        <f>+S97+1</f>
        <v>44453</v>
      </c>
      <c r="T99" s="47" t="str">
        <f t="shared" si="40"/>
        <v/>
      </c>
      <c r="U99" s="497" t="str">
        <f t="shared" si="41"/>
        <v/>
      </c>
      <c r="V99" s="48" t="str">
        <f t="shared" si="42"/>
        <v/>
      </c>
      <c r="W99" s="48">
        <f t="shared" si="57"/>
        <v>257</v>
      </c>
      <c r="X99" s="49" t="str">
        <f>IF(S99="","",IF(MOD(S99-2,7),"",INT((9+S99-MOD(S99-2,7)-DATE(YEAR(3+S99-MOD(S99-2,7)),1,))/7)))</f>
        <v/>
      </c>
      <c r="Y99" s="50"/>
      <c r="Z99" s="161" t="str">
        <f t="shared" si="43"/>
        <v>Je</v>
      </c>
      <c r="AA99" s="162">
        <f>+AA97+1</f>
        <v>44483</v>
      </c>
      <c r="AB99" s="47" t="str">
        <f t="shared" si="44"/>
        <v/>
      </c>
      <c r="AC99" s="497" t="str">
        <f t="shared" si="45"/>
        <v/>
      </c>
      <c r="AD99" s="48" t="str">
        <f t="shared" si="46"/>
        <v/>
      </c>
      <c r="AE99" s="48">
        <f t="shared" si="58"/>
        <v>287</v>
      </c>
      <c r="AF99" s="49" t="str">
        <f>IF(AA99="","",IF(MOD(AA99-2,7),"",INT((9+AA99-MOD(AA99-2,7)-DATE(YEAR(3+AA99-MOD(AA99-2,7)),1,))/7)))</f>
        <v/>
      </c>
      <c r="AG99" s="50"/>
      <c r="AH99" s="161" t="str">
        <f t="shared" si="47"/>
        <v>Di</v>
      </c>
      <c r="AI99" s="162">
        <f>+AI97+1</f>
        <v>44514</v>
      </c>
      <c r="AJ99" s="47" t="str">
        <f t="shared" si="48"/>
        <v/>
      </c>
      <c r="AK99" s="497" t="str">
        <f t="shared" si="49"/>
        <v/>
      </c>
      <c r="AL99" s="48" t="str">
        <f t="shared" si="50"/>
        <v/>
      </c>
      <c r="AM99" s="48">
        <f t="shared" si="59"/>
        <v>318</v>
      </c>
      <c r="AN99" s="49" t="str">
        <f>IF(AI99="","",IF(MOD(AI99-2,7),"",INT((9+AI99-MOD(AI99-2,7)-DATE(YEAR(3+AI99-MOD(AI99-2,7)),1,))/7)))</f>
        <v/>
      </c>
      <c r="AO99" s="50"/>
      <c r="AP99" s="161" t="str">
        <f t="shared" si="51"/>
        <v>Ma</v>
      </c>
      <c r="AQ99" s="162">
        <f>+AQ97+1</f>
        <v>44544</v>
      </c>
      <c r="AR99" s="47" t="str">
        <f t="shared" si="52"/>
        <v/>
      </c>
      <c r="AS99" s="497" t="str">
        <f t="shared" si="53"/>
        <v/>
      </c>
      <c r="AT99" s="48" t="str">
        <f t="shared" si="54"/>
        <v/>
      </c>
      <c r="AU99" s="48">
        <f t="shared" si="60"/>
        <v>348</v>
      </c>
      <c r="AV99" s="49" t="str">
        <f t="shared" si="61"/>
        <v/>
      </c>
      <c r="AW99" s="403"/>
    </row>
    <row r="100" spans="1:49" s="3" customFormat="1" ht="4" customHeight="1" x14ac:dyDescent="0.15">
      <c r="A100" s="402"/>
      <c r="B100" s="161"/>
      <c r="C100" s="162"/>
      <c r="D100" s="47"/>
      <c r="E100" s="497"/>
      <c r="F100" s="48"/>
      <c r="G100" s="48"/>
      <c r="H100" s="49"/>
      <c r="I100" s="50"/>
      <c r="J100" s="161"/>
      <c r="K100" s="162"/>
      <c r="L100" s="47"/>
      <c r="M100" s="497"/>
      <c r="N100" s="48"/>
      <c r="O100" s="48"/>
      <c r="P100" s="49"/>
      <c r="Q100" s="50"/>
      <c r="R100" s="161"/>
      <c r="S100" s="162"/>
      <c r="T100" s="47"/>
      <c r="U100" s="497"/>
      <c r="V100" s="48"/>
      <c r="W100" s="48"/>
      <c r="X100" s="49"/>
      <c r="Y100" s="50"/>
      <c r="Z100" s="161"/>
      <c r="AA100" s="162"/>
      <c r="AB100" s="47"/>
      <c r="AC100" s="497"/>
      <c r="AD100" s="48"/>
      <c r="AE100" s="48"/>
      <c r="AF100" s="49"/>
      <c r="AG100" s="50"/>
      <c r="AH100" s="161"/>
      <c r="AI100" s="162"/>
      <c r="AJ100" s="47"/>
      <c r="AK100" s="497"/>
      <c r="AL100" s="48"/>
      <c r="AM100" s="48"/>
      <c r="AN100" s="49"/>
      <c r="AO100" s="50"/>
      <c r="AP100" s="161"/>
      <c r="AQ100" s="162"/>
      <c r="AR100" s="47"/>
      <c r="AS100" s="497"/>
      <c r="AT100" s="48"/>
      <c r="AU100" s="48"/>
      <c r="AV100" s="49"/>
      <c r="AW100" s="403"/>
    </row>
    <row r="101" spans="1:49" s="3" customFormat="1" ht="18" customHeight="1" x14ac:dyDescent="0.15">
      <c r="A101" s="402"/>
      <c r="B101" s="161" t="str">
        <f t="shared" si="31"/>
        <v>Je</v>
      </c>
      <c r="C101" s="162">
        <f>+C99+1</f>
        <v>44392</v>
      </c>
      <c r="D101" s="47" t="str">
        <f t="shared" si="32"/>
        <v/>
      </c>
      <c r="E101" s="497" t="str">
        <f t="shared" si="33"/>
        <v/>
      </c>
      <c r="F101" s="48" t="str">
        <f t="shared" si="34"/>
        <v/>
      </c>
      <c r="G101" s="48">
        <f t="shared" si="55"/>
        <v>196</v>
      </c>
      <c r="H101" s="49" t="str">
        <f>IF(C101="","",IF(MOD(C101-2,7),"",INT((9+C101-MOD(C101-2,7)-DATE(YEAR(3+C101-MOD(C101-2,7)),1,))/7)))</f>
        <v/>
      </c>
      <c r="I101" s="50"/>
      <c r="J101" s="161" t="str">
        <f t="shared" si="35"/>
        <v>Di</v>
      </c>
      <c r="K101" s="162">
        <f>+K99+1</f>
        <v>44423</v>
      </c>
      <c r="L101" s="47" t="str">
        <f t="shared" si="36"/>
        <v>F</v>
      </c>
      <c r="M101" s="497" t="str">
        <f t="shared" si="37"/>
        <v>🌓</v>
      </c>
      <c r="N101" s="48" t="str">
        <f t="shared" si="38"/>
        <v>Assomption</v>
      </c>
      <c r="O101" s="48">
        <f t="shared" si="56"/>
        <v>227</v>
      </c>
      <c r="P101" s="49" t="str">
        <f>IF(K101="","",IF(MOD(K101-2,7),"",INT((9+K101-MOD(K101-2,7)-DATE(YEAR(3+K101-MOD(K101-2,7)),1,))/7)))</f>
        <v/>
      </c>
      <c r="Q101" s="50"/>
      <c r="R101" s="161" t="str">
        <f t="shared" si="39"/>
        <v>Me</v>
      </c>
      <c r="S101" s="162">
        <f>+S99+1</f>
        <v>44454</v>
      </c>
      <c r="T101" s="47" t="str">
        <f t="shared" si="40"/>
        <v/>
      </c>
      <c r="U101" s="497" t="str">
        <f t="shared" si="41"/>
        <v/>
      </c>
      <c r="V101" s="48" t="str">
        <f t="shared" si="42"/>
        <v/>
      </c>
      <c r="W101" s="48">
        <f t="shared" si="57"/>
        <v>258</v>
      </c>
      <c r="X101" s="49" t="str">
        <f>IF(S101="","",IF(MOD(S101-2,7),"",INT((9+S101-MOD(S101-2,7)-DATE(YEAR(3+S101-MOD(S101-2,7)),1,))/7)))</f>
        <v/>
      </c>
      <c r="Y101" s="50"/>
      <c r="Z101" s="161" t="str">
        <f t="shared" si="43"/>
        <v>Ve</v>
      </c>
      <c r="AA101" s="162">
        <f>+AA99+1</f>
        <v>44484</v>
      </c>
      <c r="AB101" s="47" t="str">
        <f t="shared" si="44"/>
        <v/>
      </c>
      <c r="AC101" s="497" t="str">
        <f t="shared" si="45"/>
        <v/>
      </c>
      <c r="AD101" s="48" t="str">
        <f t="shared" si="46"/>
        <v/>
      </c>
      <c r="AE101" s="48">
        <f t="shared" si="58"/>
        <v>288</v>
      </c>
      <c r="AF101" s="49" t="str">
        <f>IF(AA101="","",IF(MOD(AA101-2,7),"",INT((9+AA101-MOD(AA101-2,7)-DATE(YEAR(3+AA101-MOD(AA101-2,7)),1,))/7)))</f>
        <v/>
      </c>
      <c r="AG101" s="50"/>
      <c r="AH101" s="161" t="str">
        <f t="shared" si="47"/>
        <v>Lu</v>
      </c>
      <c r="AI101" s="162">
        <f>+AI99+1</f>
        <v>44515</v>
      </c>
      <c r="AJ101" s="47" t="str">
        <f t="shared" si="48"/>
        <v/>
      </c>
      <c r="AK101" s="497" t="str">
        <f t="shared" si="49"/>
        <v/>
      </c>
      <c r="AL101" s="48" t="str">
        <f t="shared" si="50"/>
        <v/>
      </c>
      <c r="AM101" s="48">
        <f t="shared" si="59"/>
        <v>319</v>
      </c>
      <c r="AN101" s="49">
        <f>IF(AI101="","",IF(MOD(AI101-2,7),"",INT((9+AI101-MOD(AI101-2,7)-DATE(YEAR(3+AI101-MOD(AI101-2,7)),1,))/7)))</f>
        <v>46</v>
      </c>
      <c r="AO101" s="50"/>
      <c r="AP101" s="161" t="str">
        <f t="shared" si="51"/>
        <v>Me</v>
      </c>
      <c r="AQ101" s="162">
        <f>+AQ99+1</f>
        <v>44545</v>
      </c>
      <c r="AR101" s="47" t="str">
        <f t="shared" si="52"/>
        <v/>
      </c>
      <c r="AS101" s="497" t="str">
        <f t="shared" si="53"/>
        <v/>
      </c>
      <c r="AT101" s="48" t="str">
        <f t="shared" si="54"/>
        <v/>
      </c>
      <c r="AU101" s="48">
        <f t="shared" si="60"/>
        <v>349</v>
      </c>
      <c r="AV101" s="49" t="str">
        <f t="shared" si="61"/>
        <v/>
      </c>
      <c r="AW101" s="403"/>
    </row>
    <row r="102" spans="1:49" s="3" customFormat="1" ht="4" customHeight="1" x14ac:dyDescent="0.15">
      <c r="A102" s="402"/>
      <c r="B102" s="161"/>
      <c r="C102" s="162"/>
      <c r="D102" s="47"/>
      <c r="E102" s="497"/>
      <c r="F102" s="48"/>
      <c r="G102" s="48"/>
      <c r="H102" s="49"/>
      <c r="I102" s="50"/>
      <c r="J102" s="161"/>
      <c r="K102" s="162"/>
      <c r="L102" s="47"/>
      <c r="M102" s="497"/>
      <c r="N102" s="48"/>
      <c r="O102" s="48"/>
      <c r="P102" s="49"/>
      <c r="Q102" s="50"/>
      <c r="R102" s="161"/>
      <c r="S102" s="162"/>
      <c r="T102" s="47"/>
      <c r="U102" s="497"/>
      <c r="V102" s="48"/>
      <c r="W102" s="48"/>
      <c r="X102" s="49"/>
      <c r="Y102" s="50"/>
      <c r="Z102" s="161"/>
      <c r="AA102" s="162"/>
      <c r="AB102" s="47"/>
      <c r="AC102" s="497"/>
      <c r="AD102" s="48"/>
      <c r="AE102" s="48"/>
      <c r="AF102" s="49"/>
      <c r="AG102" s="50"/>
      <c r="AH102" s="161"/>
      <c r="AI102" s="162"/>
      <c r="AJ102" s="47"/>
      <c r="AK102" s="497"/>
      <c r="AL102" s="48"/>
      <c r="AM102" s="48"/>
      <c r="AN102" s="49"/>
      <c r="AO102" s="50"/>
      <c r="AP102" s="161"/>
      <c r="AQ102" s="162"/>
      <c r="AR102" s="47"/>
      <c r="AS102" s="497"/>
      <c r="AT102" s="48"/>
      <c r="AU102" s="48"/>
      <c r="AV102" s="49"/>
      <c r="AW102" s="403"/>
    </row>
    <row r="103" spans="1:49" s="3" customFormat="1" ht="18" customHeight="1" x14ac:dyDescent="0.15">
      <c r="A103" s="402"/>
      <c r="B103" s="161" t="str">
        <f t="shared" si="31"/>
        <v>Ve</v>
      </c>
      <c r="C103" s="162">
        <f>+C101+1</f>
        <v>44393</v>
      </c>
      <c r="D103" s="47" t="str">
        <f t="shared" si="32"/>
        <v/>
      </c>
      <c r="E103" s="497" t="str">
        <f t="shared" si="33"/>
        <v/>
      </c>
      <c r="F103" s="48" t="str">
        <f t="shared" si="34"/>
        <v/>
      </c>
      <c r="G103" s="48">
        <f t="shared" si="55"/>
        <v>197</v>
      </c>
      <c r="H103" s="49" t="str">
        <f>IF(C103="","",IF(MOD(C103-2,7),"",INT((9+C103-MOD(C103-2,7)-DATE(YEAR(3+C103-MOD(C103-2,7)),1,))/7)))</f>
        <v/>
      </c>
      <c r="I103" s="50"/>
      <c r="J103" s="161" t="str">
        <f t="shared" si="35"/>
        <v>Lu</v>
      </c>
      <c r="K103" s="162">
        <f>+K101+1</f>
        <v>44424</v>
      </c>
      <c r="L103" s="47" t="str">
        <f t="shared" si="36"/>
        <v/>
      </c>
      <c r="M103" s="497" t="str">
        <f t="shared" si="37"/>
        <v/>
      </c>
      <c r="N103" s="48" t="str">
        <f t="shared" si="38"/>
        <v/>
      </c>
      <c r="O103" s="48">
        <f t="shared" si="56"/>
        <v>228</v>
      </c>
      <c r="P103" s="49">
        <f>IF(K103="","",IF(MOD(K103-2,7),"",INT((9+K103-MOD(K103-2,7)-DATE(YEAR(3+K103-MOD(K103-2,7)),1,))/7)))</f>
        <v>33</v>
      </c>
      <c r="Q103" s="50"/>
      <c r="R103" s="161" t="str">
        <f t="shared" si="39"/>
        <v>Je</v>
      </c>
      <c r="S103" s="162">
        <f>+S101+1</f>
        <v>44455</v>
      </c>
      <c r="T103" s="47" t="str">
        <f t="shared" si="40"/>
        <v/>
      </c>
      <c r="U103" s="497" t="str">
        <f t="shared" si="41"/>
        <v/>
      </c>
      <c r="V103" s="48" t="str">
        <f t="shared" si="42"/>
        <v/>
      </c>
      <c r="W103" s="48">
        <f t="shared" si="57"/>
        <v>259</v>
      </c>
      <c r="X103" s="49" t="str">
        <f>IF(S103="","",IF(MOD(S103-2,7),"",INT((9+S103-MOD(S103-2,7)-DATE(YEAR(3+S103-MOD(S103-2,7)),1,))/7)))</f>
        <v/>
      </c>
      <c r="Y103" s="50"/>
      <c r="Z103" s="161" t="str">
        <f t="shared" si="43"/>
        <v>Sa</v>
      </c>
      <c r="AA103" s="162">
        <f>+AA101+1</f>
        <v>44485</v>
      </c>
      <c r="AB103" s="47" t="str">
        <f t="shared" si="44"/>
        <v/>
      </c>
      <c r="AC103" s="497" t="str">
        <f t="shared" si="45"/>
        <v/>
      </c>
      <c r="AD103" s="48" t="str">
        <f t="shared" si="46"/>
        <v/>
      </c>
      <c r="AE103" s="48">
        <f t="shared" si="58"/>
        <v>289</v>
      </c>
      <c r="AF103" s="49" t="str">
        <f>IF(AA103="","",IF(MOD(AA103-2,7),"",INT((9+AA103-MOD(AA103-2,7)-DATE(YEAR(3+AA103-MOD(AA103-2,7)),1,))/7)))</f>
        <v/>
      </c>
      <c r="AG103" s="50"/>
      <c r="AH103" s="161" t="str">
        <f t="shared" si="47"/>
        <v>Ma</v>
      </c>
      <c r="AI103" s="162">
        <f>+AI101+1</f>
        <v>44516</v>
      </c>
      <c r="AJ103" s="47" t="str">
        <f t="shared" si="48"/>
        <v/>
      </c>
      <c r="AK103" s="497" t="str">
        <f t="shared" si="49"/>
        <v/>
      </c>
      <c r="AL103" s="48" t="str">
        <f t="shared" si="50"/>
        <v/>
      </c>
      <c r="AM103" s="48">
        <f t="shared" si="59"/>
        <v>320</v>
      </c>
      <c r="AN103" s="49" t="str">
        <f>IF(AI103="","",IF(MOD(AI103-2,7),"",INT((9+AI103-MOD(AI103-2,7)-DATE(YEAR(3+AI103-MOD(AI103-2,7)),1,))/7)))</f>
        <v/>
      </c>
      <c r="AO103" s="50"/>
      <c r="AP103" s="161" t="str">
        <f t="shared" si="51"/>
        <v>Je</v>
      </c>
      <c r="AQ103" s="162">
        <f>+AQ101+1</f>
        <v>44546</v>
      </c>
      <c r="AR103" s="47" t="str">
        <f t="shared" si="52"/>
        <v/>
      </c>
      <c r="AS103" s="497" t="str">
        <f t="shared" si="53"/>
        <v/>
      </c>
      <c r="AT103" s="48" t="str">
        <f t="shared" si="54"/>
        <v/>
      </c>
      <c r="AU103" s="48">
        <f t="shared" si="60"/>
        <v>350</v>
      </c>
      <c r="AV103" s="49" t="str">
        <f t="shared" si="61"/>
        <v/>
      </c>
      <c r="AW103" s="403"/>
    </row>
    <row r="104" spans="1:49" s="3" customFormat="1" ht="4" customHeight="1" x14ac:dyDescent="0.15">
      <c r="A104" s="402"/>
      <c r="B104" s="161"/>
      <c r="C104" s="162"/>
      <c r="D104" s="47"/>
      <c r="E104" s="497"/>
      <c r="F104" s="48"/>
      <c r="G104" s="48"/>
      <c r="H104" s="49"/>
      <c r="I104" s="50"/>
      <c r="J104" s="161"/>
      <c r="K104" s="162"/>
      <c r="L104" s="47"/>
      <c r="M104" s="497"/>
      <c r="N104" s="48"/>
      <c r="O104" s="48"/>
      <c r="P104" s="49"/>
      <c r="Q104" s="50"/>
      <c r="R104" s="161"/>
      <c r="S104" s="162"/>
      <c r="T104" s="47"/>
      <c r="U104" s="497"/>
      <c r="V104" s="48"/>
      <c r="W104" s="48"/>
      <c r="X104" s="49"/>
      <c r="Y104" s="50"/>
      <c r="Z104" s="161"/>
      <c r="AA104" s="162"/>
      <c r="AB104" s="47"/>
      <c r="AC104" s="497"/>
      <c r="AD104" s="48"/>
      <c r="AE104" s="48"/>
      <c r="AF104" s="49"/>
      <c r="AG104" s="50"/>
      <c r="AH104" s="161"/>
      <c r="AI104" s="162"/>
      <c r="AJ104" s="47"/>
      <c r="AK104" s="497"/>
      <c r="AL104" s="48"/>
      <c r="AM104" s="48"/>
      <c r="AN104" s="49"/>
      <c r="AO104" s="50"/>
      <c r="AP104" s="161"/>
      <c r="AQ104" s="162"/>
      <c r="AR104" s="47"/>
      <c r="AS104" s="497"/>
      <c r="AT104" s="48"/>
      <c r="AU104" s="48"/>
      <c r="AV104" s="49"/>
      <c r="AW104" s="403"/>
    </row>
    <row r="105" spans="1:49" s="3" customFormat="1" ht="18" customHeight="1" x14ac:dyDescent="0.15">
      <c r="A105" s="402"/>
      <c r="B105" s="161" t="str">
        <f t="shared" si="31"/>
        <v>Sa</v>
      </c>
      <c r="C105" s="162">
        <f>+C103+1</f>
        <v>44394</v>
      </c>
      <c r="D105" s="47" t="str">
        <f t="shared" si="32"/>
        <v/>
      </c>
      <c r="E105" s="497" t="str">
        <f t="shared" si="33"/>
        <v>🌓</v>
      </c>
      <c r="F105" s="48" t="str">
        <f t="shared" si="34"/>
        <v/>
      </c>
      <c r="G105" s="48">
        <f t="shared" si="55"/>
        <v>198</v>
      </c>
      <c r="H105" s="49" t="str">
        <f>IF(C105="","",IF(MOD(C105-2,7),"",INT((9+C105-MOD(C105-2,7)-DATE(YEAR(3+C105-MOD(C105-2,7)),1,))/7)))</f>
        <v/>
      </c>
      <c r="I105" s="50"/>
      <c r="J105" s="161" t="str">
        <f t="shared" si="35"/>
        <v>Ma</v>
      </c>
      <c r="K105" s="162">
        <f>+K103+1</f>
        <v>44425</v>
      </c>
      <c r="L105" s="47" t="str">
        <f t="shared" si="36"/>
        <v/>
      </c>
      <c r="M105" s="497" t="str">
        <f t="shared" si="37"/>
        <v/>
      </c>
      <c r="N105" s="48" t="str">
        <f t="shared" si="38"/>
        <v/>
      </c>
      <c r="O105" s="48">
        <f t="shared" si="56"/>
        <v>229</v>
      </c>
      <c r="P105" s="49" t="str">
        <f>IF(K105="","",IF(MOD(K105-2,7),"",INT((9+K105-MOD(K105-2,7)-DATE(YEAR(3+K105-MOD(K105-2,7)),1,))/7)))</f>
        <v/>
      </c>
      <c r="Q105" s="50"/>
      <c r="R105" s="161" t="str">
        <f t="shared" si="39"/>
        <v>Ve</v>
      </c>
      <c r="S105" s="162">
        <f>+S103+1</f>
        <v>44456</v>
      </c>
      <c r="T105" s="47" t="str">
        <f t="shared" si="40"/>
        <v/>
      </c>
      <c r="U105" s="497" t="str">
        <f t="shared" si="41"/>
        <v/>
      </c>
      <c r="V105" s="48" t="str">
        <f t="shared" si="42"/>
        <v/>
      </c>
      <c r="W105" s="48">
        <f t="shared" si="57"/>
        <v>260</v>
      </c>
      <c r="X105" s="49" t="str">
        <f>IF(S105="","",IF(MOD(S105-2,7),"",INT((9+S105-MOD(S105-2,7)-DATE(YEAR(3+S105-MOD(S105-2,7)),1,))/7)))</f>
        <v/>
      </c>
      <c r="Y105" s="50"/>
      <c r="Z105" s="161" t="str">
        <f t="shared" si="43"/>
        <v>Di</v>
      </c>
      <c r="AA105" s="162">
        <f>+AA103+1</f>
        <v>44486</v>
      </c>
      <c r="AB105" s="47" t="str">
        <f t="shared" si="44"/>
        <v/>
      </c>
      <c r="AC105" s="497" t="str">
        <f t="shared" si="45"/>
        <v/>
      </c>
      <c r="AD105" s="48" t="str">
        <f t="shared" si="46"/>
        <v/>
      </c>
      <c r="AE105" s="48">
        <f t="shared" si="58"/>
        <v>290</v>
      </c>
      <c r="AF105" s="49" t="str">
        <f>IF(AA105="","",IF(MOD(AA105-2,7),"",INT((9+AA105-MOD(AA105-2,7)-DATE(YEAR(3+AA105-MOD(AA105-2,7)),1,))/7)))</f>
        <v/>
      </c>
      <c r="AG105" s="50"/>
      <c r="AH105" s="161" t="str">
        <f t="shared" si="47"/>
        <v>Me</v>
      </c>
      <c r="AI105" s="162">
        <f>+AI103+1</f>
        <v>44517</v>
      </c>
      <c r="AJ105" s="47" t="str">
        <f t="shared" si="48"/>
        <v/>
      </c>
      <c r="AK105" s="497" t="str">
        <f t="shared" si="49"/>
        <v/>
      </c>
      <c r="AL105" s="48" t="str">
        <f t="shared" si="50"/>
        <v/>
      </c>
      <c r="AM105" s="48">
        <f t="shared" si="59"/>
        <v>321</v>
      </c>
      <c r="AN105" s="49" t="str">
        <f>IF(AI105="","",IF(MOD(AI105-2,7),"",INT((9+AI105-MOD(AI105-2,7)-DATE(YEAR(3+AI105-MOD(AI105-2,7)),1,))/7)))</f>
        <v/>
      </c>
      <c r="AO105" s="50"/>
      <c r="AP105" s="161" t="str">
        <f t="shared" si="51"/>
        <v>Ve</v>
      </c>
      <c r="AQ105" s="162">
        <f>+AQ103+1</f>
        <v>44547</v>
      </c>
      <c r="AR105" s="47" t="str">
        <f t="shared" si="52"/>
        <v/>
      </c>
      <c r="AS105" s="497" t="str">
        <f t="shared" si="53"/>
        <v/>
      </c>
      <c r="AT105" s="48" t="str">
        <f t="shared" si="54"/>
        <v/>
      </c>
      <c r="AU105" s="48">
        <f t="shared" si="60"/>
        <v>351</v>
      </c>
      <c r="AV105" s="49" t="str">
        <f t="shared" si="61"/>
        <v/>
      </c>
      <c r="AW105" s="403"/>
    </row>
    <row r="106" spans="1:49" s="3" customFormat="1" ht="4" customHeight="1" x14ac:dyDescent="0.15">
      <c r="A106" s="402"/>
      <c r="B106" s="161"/>
      <c r="C106" s="162"/>
      <c r="D106" s="47"/>
      <c r="E106" s="497"/>
      <c r="F106" s="48"/>
      <c r="G106" s="48"/>
      <c r="H106" s="49"/>
      <c r="I106" s="50"/>
      <c r="J106" s="161"/>
      <c r="K106" s="162"/>
      <c r="L106" s="47"/>
      <c r="M106" s="497"/>
      <c r="N106" s="48"/>
      <c r="O106" s="48"/>
      <c r="P106" s="49"/>
      <c r="Q106" s="50"/>
      <c r="R106" s="161"/>
      <c r="S106" s="162"/>
      <c r="T106" s="47"/>
      <c r="U106" s="497"/>
      <c r="V106" s="48"/>
      <c r="W106" s="48"/>
      <c r="X106" s="49"/>
      <c r="Y106" s="50"/>
      <c r="Z106" s="161"/>
      <c r="AA106" s="162"/>
      <c r="AB106" s="47"/>
      <c r="AC106" s="497"/>
      <c r="AD106" s="48"/>
      <c r="AE106" s="48"/>
      <c r="AF106" s="49"/>
      <c r="AG106" s="50"/>
      <c r="AH106" s="161"/>
      <c r="AI106" s="162"/>
      <c r="AJ106" s="47"/>
      <c r="AK106" s="497"/>
      <c r="AL106" s="48"/>
      <c r="AM106" s="48"/>
      <c r="AN106" s="49"/>
      <c r="AO106" s="50"/>
      <c r="AP106" s="161"/>
      <c r="AQ106" s="162"/>
      <c r="AR106" s="47"/>
      <c r="AS106" s="497"/>
      <c r="AT106" s="48"/>
      <c r="AU106" s="48"/>
      <c r="AV106" s="49"/>
      <c r="AW106" s="403"/>
    </row>
    <row r="107" spans="1:49" s="3" customFormat="1" ht="18" customHeight="1" x14ac:dyDescent="0.15">
      <c r="A107" s="402"/>
      <c r="B107" s="161" t="str">
        <f t="shared" si="31"/>
        <v>Di</v>
      </c>
      <c r="C107" s="162">
        <f>+C105+1</f>
        <v>44395</v>
      </c>
      <c r="D107" s="47" t="str">
        <f t="shared" si="32"/>
        <v/>
      </c>
      <c r="E107" s="497" t="str">
        <f t="shared" si="33"/>
        <v/>
      </c>
      <c r="F107" s="48" t="str">
        <f t="shared" si="34"/>
        <v/>
      </c>
      <c r="G107" s="48">
        <f t="shared" si="55"/>
        <v>199</v>
      </c>
      <c r="H107" s="49" t="str">
        <f>IF(C107="","",IF(MOD(C107-2,7),"",INT((9+C107-MOD(C107-2,7)-DATE(YEAR(3+C107-MOD(C107-2,7)),1,))/7)))</f>
        <v/>
      </c>
      <c r="I107" s="50"/>
      <c r="J107" s="161" t="str">
        <f t="shared" si="35"/>
        <v>Me</v>
      </c>
      <c r="K107" s="162">
        <f>+K105+1</f>
        <v>44426</v>
      </c>
      <c r="L107" s="47" t="str">
        <f t="shared" si="36"/>
        <v/>
      </c>
      <c r="M107" s="497" t="str">
        <f t="shared" si="37"/>
        <v/>
      </c>
      <c r="N107" s="48" t="str">
        <f t="shared" si="38"/>
        <v/>
      </c>
      <c r="O107" s="48">
        <f t="shared" si="56"/>
        <v>230</v>
      </c>
      <c r="P107" s="49" t="str">
        <f>IF(K107="","",IF(MOD(K107-2,7),"",INT((9+K107-MOD(K107-2,7)-DATE(YEAR(3+K107-MOD(K107-2,7)),1,))/7)))</f>
        <v/>
      </c>
      <c r="Q107" s="50"/>
      <c r="R107" s="161" t="str">
        <f t="shared" si="39"/>
        <v>Sa</v>
      </c>
      <c r="S107" s="162">
        <f>+S105+1</f>
        <v>44457</v>
      </c>
      <c r="T107" s="47" t="str">
        <f t="shared" si="40"/>
        <v/>
      </c>
      <c r="U107" s="497" t="str">
        <f t="shared" si="41"/>
        <v/>
      </c>
      <c r="V107" s="48" t="str">
        <f t="shared" si="42"/>
        <v/>
      </c>
      <c r="W107" s="48">
        <f t="shared" si="57"/>
        <v>261</v>
      </c>
      <c r="X107" s="49" t="str">
        <f>IF(S107="","",IF(MOD(S107-2,7),"",INT((9+S107-MOD(S107-2,7)-DATE(YEAR(3+S107-MOD(S107-2,7)),1,))/7)))</f>
        <v/>
      </c>
      <c r="Y107" s="50"/>
      <c r="Z107" s="161" t="str">
        <f t="shared" si="43"/>
        <v>Lu</v>
      </c>
      <c r="AA107" s="162">
        <f>+AA105+1</f>
        <v>44487</v>
      </c>
      <c r="AB107" s="47" t="str">
        <f t="shared" si="44"/>
        <v/>
      </c>
      <c r="AC107" s="497" t="str">
        <f t="shared" si="45"/>
        <v/>
      </c>
      <c r="AD107" s="48" t="str">
        <f t="shared" si="46"/>
        <v/>
      </c>
      <c r="AE107" s="48">
        <f t="shared" si="58"/>
        <v>291</v>
      </c>
      <c r="AF107" s="49">
        <f>IF(AA107="","",IF(MOD(AA107-2,7),"",INT((9+AA107-MOD(AA107-2,7)-DATE(YEAR(3+AA107-MOD(AA107-2,7)),1,))/7)))</f>
        <v>42</v>
      </c>
      <c r="AG107" s="50"/>
      <c r="AH107" s="161" t="str">
        <f t="shared" si="47"/>
        <v>Je</v>
      </c>
      <c r="AI107" s="162">
        <f>+AI105+1</f>
        <v>44518</v>
      </c>
      <c r="AJ107" s="47">
        <f t="shared" si="48"/>
        <v>0</v>
      </c>
      <c r="AK107" s="497" t="str">
        <f t="shared" si="49"/>
        <v/>
      </c>
      <c r="AL107" s="48" t="str">
        <f t="shared" si="50"/>
        <v>🍾 Beaujolais nouveau</v>
      </c>
      <c r="AM107" s="48">
        <f t="shared" si="59"/>
        <v>322</v>
      </c>
      <c r="AN107" s="49" t="str">
        <f>IF(AI107="","",IF(MOD(AI107-2,7),"",INT((9+AI107-MOD(AI107-2,7)-DATE(YEAR(3+AI107-MOD(AI107-2,7)),1,))/7)))</f>
        <v/>
      </c>
      <c r="AO107" s="50"/>
      <c r="AP107" s="161" t="str">
        <f t="shared" si="51"/>
        <v>Sa</v>
      </c>
      <c r="AQ107" s="162">
        <f>+AQ105+1</f>
        <v>44548</v>
      </c>
      <c r="AR107" s="47" t="str">
        <f t="shared" si="52"/>
        <v/>
      </c>
      <c r="AS107" s="497" t="str">
        <f t="shared" si="53"/>
        <v/>
      </c>
      <c r="AT107" s="48" t="str">
        <f t="shared" si="54"/>
        <v/>
      </c>
      <c r="AU107" s="48">
        <f t="shared" si="60"/>
        <v>352</v>
      </c>
      <c r="AV107" s="49" t="str">
        <f t="shared" si="61"/>
        <v/>
      </c>
      <c r="AW107" s="403"/>
    </row>
    <row r="108" spans="1:49" s="3" customFormat="1" ht="4" customHeight="1" x14ac:dyDescent="0.15">
      <c r="A108" s="402"/>
      <c r="B108" s="161"/>
      <c r="C108" s="162"/>
      <c r="D108" s="47"/>
      <c r="E108" s="497"/>
      <c r="F108" s="48"/>
      <c r="G108" s="48"/>
      <c r="H108" s="49"/>
      <c r="I108" s="50"/>
      <c r="J108" s="161"/>
      <c r="K108" s="162"/>
      <c r="L108" s="47"/>
      <c r="M108" s="497"/>
      <c r="N108" s="48"/>
      <c r="O108" s="48"/>
      <c r="P108" s="49"/>
      <c r="Q108" s="50"/>
      <c r="R108" s="161"/>
      <c r="S108" s="162"/>
      <c r="T108" s="47"/>
      <c r="U108" s="497"/>
      <c r="V108" s="48"/>
      <c r="W108" s="48"/>
      <c r="X108" s="49"/>
      <c r="Y108" s="50"/>
      <c r="Z108" s="161"/>
      <c r="AA108" s="162"/>
      <c r="AB108" s="47"/>
      <c r="AC108" s="497"/>
      <c r="AD108" s="48"/>
      <c r="AE108" s="48"/>
      <c r="AF108" s="49"/>
      <c r="AG108" s="50"/>
      <c r="AH108" s="161"/>
      <c r="AI108" s="162"/>
      <c r="AJ108" s="47"/>
      <c r="AK108" s="497"/>
      <c r="AL108" s="48"/>
      <c r="AM108" s="48"/>
      <c r="AN108" s="49"/>
      <c r="AO108" s="50"/>
      <c r="AP108" s="161"/>
      <c r="AQ108" s="162"/>
      <c r="AR108" s="47"/>
      <c r="AS108" s="497"/>
      <c r="AT108" s="48"/>
      <c r="AU108" s="48"/>
      <c r="AV108" s="49"/>
      <c r="AW108" s="403"/>
    </row>
    <row r="109" spans="1:49" s="3" customFormat="1" ht="18" customHeight="1" x14ac:dyDescent="0.15">
      <c r="A109" s="402"/>
      <c r="B109" s="161" t="str">
        <f t="shared" si="31"/>
        <v>Lu</v>
      </c>
      <c r="C109" s="162">
        <f>+C107+1</f>
        <v>44396</v>
      </c>
      <c r="D109" s="47" t="str">
        <f t="shared" si="32"/>
        <v/>
      </c>
      <c r="E109" s="497" t="str">
        <f t="shared" si="33"/>
        <v/>
      </c>
      <c r="F109" s="48" t="str">
        <f t="shared" si="34"/>
        <v/>
      </c>
      <c r="G109" s="48">
        <f t="shared" si="55"/>
        <v>200</v>
      </c>
      <c r="H109" s="49">
        <f>IF(C109="","",IF(MOD(C109-2,7),"",INT((9+C109-MOD(C109-2,7)-DATE(YEAR(3+C109-MOD(C109-2,7)),1,))/7)))</f>
        <v>29</v>
      </c>
      <c r="I109" s="50"/>
      <c r="J109" s="161" t="str">
        <f t="shared" si="35"/>
        <v>Je</v>
      </c>
      <c r="K109" s="162">
        <f>+K107+1</f>
        <v>44427</v>
      </c>
      <c r="L109" s="47" t="str">
        <f t="shared" si="36"/>
        <v/>
      </c>
      <c r="M109" s="497" t="str">
        <f t="shared" si="37"/>
        <v/>
      </c>
      <c r="N109" s="48" t="str">
        <f t="shared" si="38"/>
        <v/>
      </c>
      <c r="O109" s="48">
        <f t="shared" si="56"/>
        <v>231</v>
      </c>
      <c r="P109" s="49" t="str">
        <f>IF(K109="","",IF(MOD(K109-2,7),"",INT((9+K109-MOD(K109-2,7)-DATE(YEAR(3+K109-MOD(K109-2,7)),1,))/7)))</f>
        <v/>
      </c>
      <c r="Q109" s="50"/>
      <c r="R109" s="161" t="str">
        <f t="shared" si="39"/>
        <v>Di</v>
      </c>
      <c r="S109" s="162">
        <f>+S107+1</f>
        <v>44458</v>
      </c>
      <c r="T109" s="47" t="str">
        <f t="shared" si="40"/>
        <v/>
      </c>
      <c r="U109" s="497" t="str">
        <f t="shared" si="41"/>
        <v/>
      </c>
      <c r="V109" s="48" t="str">
        <f t="shared" si="42"/>
        <v/>
      </c>
      <c r="W109" s="48">
        <f t="shared" si="57"/>
        <v>262</v>
      </c>
      <c r="X109" s="49" t="str">
        <f>IF(S109="","",IF(MOD(S109-2,7),"",INT((9+S109-MOD(S109-2,7)-DATE(YEAR(3+S109-MOD(S109-2,7)),1,))/7)))</f>
        <v/>
      </c>
      <c r="Y109" s="50"/>
      <c r="Z109" s="161" t="str">
        <f t="shared" si="43"/>
        <v>Ma</v>
      </c>
      <c r="AA109" s="162">
        <f>+AA107+1</f>
        <v>44488</v>
      </c>
      <c r="AB109" s="47" t="str">
        <f t="shared" si="44"/>
        <v/>
      </c>
      <c r="AC109" s="497" t="str">
        <f t="shared" si="45"/>
        <v/>
      </c>
      <c r="AD109" s="48" t="str">
        <f t="shared" si="46"/>
        <v/>
      </c>
      <c r="AE109" s="48">
        <f t="shared" si="58"/>
        <v>292</v>
      </c>
      <c r="AF109" s="49" t="str">
        <f>IF(AA109="","",IF(MOD(AA109-2,7),"",INT((9+AA109-MOD(AA109-2,7)-DATE(YEAR(3+AA109-MOD(AA109-2,7)),1,))/7)))</f>
        <v/>
      </c>
      <c r="AG109" s="50"/>
      <c r="AH109" s="161" t="str">
        <f t="shared" si="47"/>
        <v>Ve</v>
      </c>
      <c r="AI109" s="162">
        <f>+AI107+1</f>
        <v>44519</v>
      </c>
      <c r="AJ109" s="47" t="str">
        <f t="shared" si="48"/>
        <v/>
      </c>
      <c r="AK109" s="497" t="str">
        <f t="shared" si="49"/>
        <v>🌕</v>
      </c>
      <c r="AL109" s="48" t="str">
        <f t="shared" si="50"/>
        <v/>
      </c>
      <c r="AM109" s="48">
        <f t="shared" si="59"/>
        <v>323</v>
      </c>
      <c r="AN109" s="49" t="str">
        <f>IF(AI109="","",IF(MOD(AI109-2,7),"",INT((9+AI109-MOD(AI109-2,7)-DATE(YEAR(3+AI109-MOD(AI109-2,7)),1,))/7)))</f>
        <v/>
      </c>
      <c r="AO109" s="50"/>
      <c r="AP109" s="161" t="str">
        <f t="shared" si="51"/>
        <v>Di</v>
      </c>
      <c r="AQ109" s="162">
        <f>+AQ107+1</f>
        <v>44549</v>
      </c>
      <c r="AR109" s="47" t="str">
        <f t="shared" si="52"/>
        <v/>
      </c>
      <c r="AS109" s="497" t="str">
        <f t="shared" si="53"/>
        <v>🌕</v>
      </c>
      <c r="AT109" s="48" t="str">
        <f t="shared" si="54"/>
        <v/>
      </c>
      <c r="AU109" s="48">
        <f t="shared" si="60"/>
        <v>353</v>
      </c>
      <c r="AV109" s="49" t="str">
        <f t="shared" si="61"/>
        <v/>
      </c>
      <c r="AW109" s="403"/>
    </row>
    <row r="110" spans="1:49" s="3" customFormat="1" ht="4" customHeight="1" x14ac:dyDescent="0.15">
      <c r="A110" s="402"/>
      <c r="B110" s="161"/>
      <c r="C110" s="162"/>
      <c r="D110" s="47"/>
      <c r="E110" s="497"/>
      <c r="F110" s="48"/>
      <c r="G110" s="48"/>
      <c r="H110" s="49"/>
      <c r="I110" s="50"/>
      <c r="J110" s="161"/>
      <c r="K110" s="162"/>
      <c r="L110" s="47"/>
      <c r="M110" s="497"/>
      <c r="N110" s="48"/>
      <c r="O110" s="48"/>
      <c r="P110" s="49"/>
      <c r="Q110" s="50"/>
      <c r="R110" s="161"/>
      <c r="S110" s="162"/>
      <c r="T110" s="47"/>
      <c r="U110" s="497"/>
      <c r="V110" s="48"/>
      <c r="W110" s="48"/>
      <c r="X110" s="49"/>
      <c r="Y110" s="50"/>
      <c r="Z110" s="161"/>
      <c r="AA110" s="162"/>
      <c r="AB110" s="47"/>
      <c r="AC110" s="497"/>
      <c r="AD110" s="48"/>
      <c r="AE110" s="48"/>
      <c r="AF110" s="49"/>
      <c r="AG110" s="50"/>
      <c r="AH110" s="161"/>
      <c r="AI110" s="162"/>
      <c r="AJ110" s="47"/>
      <c r="AK110" s="497"/>
      <c r="AL110" s="48"/>
      <c r="AM110" s="48"/>
      <c r="AN110" s="49"/>
      <c r="AO110" s="50"/>
      <c r="AP110" s="161"/>
      <c r="AQ110" s="162"/>
      <c r="AR110" s="47"/>
      <c r="AS110" s="497"/>
      <c r="AT110" s="48"/>
      <c r="AU110" s="48"/>
      <c r="AV110" s="49"/>
      <c r="AW110" s="403"/>
    </row>
    <row r="111" spans="1:49" s="3" customFormat="1" ht="18" customHeight="1" x14ac:dyDescent="0.15">
      <c r="A111" s="402"/>
      <c r="B111" s="161" t="str">
        <f t="shared" si="31"/>
        <v>Ma</v>
      </c>
      <c r="C111" s="162">
        <f>+C109+1</f>
        <v>44397</v>
      </c>
      <c r="D111" s="47" t="str">
        <f t="shared" si="32"/>
        <v/>
      </c>
      <c r="E111" s="497" t="str">
        <f t="shared" si="33"/>
        <v/>
      </c>
      <c r="F111" s="48" t="str">
        <f t="shared" si="34"/>
        <v/>
      </c>
      <c r="G111" s="48">
        <f t="shared" si="55"/>
        <v>201</v>
      </c>
      <c r="H111" s="49" t="str">
        <f>IF(C111="","",IF(MOD(C111-2,7),"",INT((9+C111-MOD(C111-2,7)-DATE(YEAR(3+C111-MOD(C111-2,7)),1,))/7)))</f>
        <v/>
      </c>
      <c r="I111" s="50"/>
      <c r="J111" s="161" t="str">
        <f t="shared" si="35"/>
        <v>Ve</v>
      </c>
      <c r="K111" s="162">
        <f>+K109+1</f>
        <v>44428</v>
      </c>
      <c r="L111" s="47" t="str">
        <f t="shared" si="36"/>
        <v/>
      </c>
      <c r="M111" s="497" t="str">
        <f t="shared" si="37"/>
        <v/>
      </c>
      <c r="N111" s="48" t="str">
        <f t="shared" si="38"/>
        <v/>
      </c>
      <c r="O111" s="48">
        <f t="shared" si="56"/>
        <v>232</v>
      </c>
      <c r="P111" s="49" t="str">
        <f>IF(K111="","",IF(MOD(K111-2,7),"",INT((9+K111-MOD(K111-2,7)-DATE(YEAR(3+K111-MOD(K111-2,7)),1,))/7)))</f>
        <v/>
      </c>
      <c r="Q111" s="50"/>
      <c r="R111" s="161" t="str">
        <f t="shared" si="39"/>
        <v>Lu</v>
      </c>
      <c r="S111" s="162">
        <f>+S109+1</f>
        <v>44459</v>
      </c>
      <c r="T111" s="47" t="str">
        <f t="shared" si="40"/>
        <v/>
      </c>
      <c r="U111" s="497" t="str">
        <f t="shared" si="41"/>
        <v>🌕</v>
      </c>
      <c r="V111" s="48" t="str">
        <f t="shared" si="42"/>
        <v/>
      </c>
      <c r="W111" s="48">
        <f t="shared" si="57"/>
        <v>263</v>
      </c>
      <c r="X111" s="49">
        <f>IF(S111="","",IF(MOD(S111-2,7),"",INT((9+S111-MOD(S111-2,7)-DATE(YEAR(3+S111-MOD(S111-2,7)),1,))/7)))</f>
        <v>38</v>
      </c>
      <c r="Y111" s="50"/>
      <c r="Z111" s="161" t="str">
        <f t="shared" si="43"/>
        <v>Me</v>
      </c>
      <c r="AA111" s="162">
        <f>+AA109+1</f>
        <v>44489</v>
      </c>
      <c r="AB111" s="47" t="str">
        <f t="shared" si="44"/>
        <v/>
      </c>
      <c r="AC111" s="497" t="str">
        <f t="shared" si="45"/>
        <v>🌕</v>
      </c>
      <c r="AD111" s="48" t="str">
        <f t="shared" si="46"/>
        <v/>
      </c>
      <c r="AE111" s="48">
        <f t="shared" si="58"/>
        <v>293</v>
      </c>
      <c r="AF111" s="49" t="str">
        <f>IF(AA111="","",IF(MOD(AA111-2,7),"",INT((9+AA111-MOD(AA111-2,7)-DATE(YEAR(3+AA111-MOD(AA111-2,7)),1,))/7)))</f>
        <v/>
      </c>
      <c r="AG111" s="50"/>
      <c r="AH111" s="161" t="str">
        <f t="shared" si="47"/>
        <v>Sa</v>
      </c>
      <c r="AI111" s="162">
        <f>+AI109+1</f>
        <v>44520</v>
      </c>
      <c r="AJ111" s="47" t="str">
        <f t="shared" si="48"/>
        <v/>
      </c>
      <c r="AK111" s="497" t="str">
        <f t="shared" si="49"/>
        <v/>
      </c>
      <c r="AL111" s="48" t="str">
        <f t="shared" si="50"/>
        <v/>
      </c>
      <c r="AM111" s="48">
        <f t="shared" si="59"/>
        <v>324</v>
      </c>
      <c r="AN111" s="49" t="str">
        <f>IF(AI111="","",IF(MOD(AI111-2,7),"",INT((9+AI111-MOD(AI111-2,7)-DATE(YEAR(3+AI111-MOD(AI111-2,7)),1,))/7)))</f>
        <v/>
      </c>
      <c r="AO111" s="50"/>
      <c r="AP111" s="161" t="str">
        <f t="shared" si="51"/>
        <v>Lu</v>
      </c>
      <c r="AQ111" s="162">
        <f>+AQ109+1</f>
        <v>44550</v>
      </c>
      <c r="AR111" s="47" t="str">
        <f t="shared" si="52"/>
        <v/>
      </c>
      <c r="AS111" s="497" t="str">
        <f t="shared" si="53"/>
        <v/>
      </c>
      <c r="AT111" s="48" t="str">
        <f t="shared" si="54"/>
        <v/>
      </c>
      <c r="AU111" s="48">
        <f t="shared" si="60"/>
        <v>354</v>
      </c>
      <c r="AV111" s="49">
        <f t="shared" si="61"/>
        <v>51</v>
      </c>
      <c r="AW111" s="403"/>
    </row>
    <row r="112" spans="1:49" s="3" customFormat="1" ht="4" customHeight="1" x14ac:dyDescent="0.15">
      <c r="A112" s="402"/>
      <c r="B112" s="161"/>
      <c r="C112" s="162"/>
      <c r="D112" s="47"/>
      <c r="E112" s="497"/>
      <c r="F112" s="48"/>
      <c r="G112" s="48"/>
      <c r="H112" s="49"/>
      <c r="I112" s="50"/>
      <c r="J112" s="161"/>
      <c r="K112" s="162"/>
      <c r="L112" s="47"/>
      <c r="M112" s="497"/>
      <c r="N112" s="48"/>
      <c r="O112" s="48"/>
      <c r="P112" s="49"/>
      <c r="Q112" s="50"/>
      <c r="R112" s="161"/>
      <c r="S112" s="162"/>
      <c r="T112" s="47"/>
      <c r="U112" s="497"/>
      <c r="V112" s="48"/>
      <c r="W112" s="48"/>
      <c r="X112" s="49"/>
      <c r="Y112" s="50"/>
      <c r="Z112" s="161"/>
      <c r="AA112" s="162"/>
      <c r="AB112" s="47"/>
      <c r="AC112" s="497"/>
      <c r="AD112" s="48"/>
      <c r="AE112" s="48"/>
      <c r="AF112" s="49"/>
      <c r="AG112" s="50"/>
      <c r="AH112" s="161"/>
      <c r="AI112" s="162"/>
      <c r="AJ112" s="47"/>
      <c r="AK112" s="497"/>
      <c r="AL112" s="48"/>
      <c r="AM112" s="48"/>
      <c r="AN112" s="49"/>
      <c r="AO112" s="50"/>
      <c r="AP112" s="161"/>
      <c r="AQ112" s="162"/>
      <c r="AR112" s="47"/>
      <c r="AS112" s="497"/>
      <c r="AT112" s="48"/>
      <c r="AU112" s="48"/>
      <c r="AV112" s="49"/>
      <c r="AW112" s="403"/>
    </row>
    <row r="113" spans="1:49" s="3" customFormat="1" ht="18" customHeight="1" x14ac:dyDescent="0.15">
      <c r="A113" s="402"/>
      <c r="B113" s="161" t="str">
        <f t="shared" si="31"/>
        <v>Me</v>
      </c>
      <c r="C113" s="162">
        <f>+C111+1</f>
        <v>44398</v>
      </c>
      <c r="D113" s="47" t="str">
        <f t="shared" si="32"/>
        <v/>
      </c>
      <c r="E113" s="497" t="str">
        <f t="shared" si="33"/>
        <v/>
      </c>
      <c r="F113" s="48" t="str">
        <f t="shared" si="34"/>
        <v/>
      </c>
      <c r="G113" s="48">
        <f t="shared" si="55"/>
        <v>202</v>
      </c>
      <c r="H113" s="49" t="str">
        <f>IF(C113="","",IF(MOD(C113-2,7),"",INT((9+C113-MOD(C113-2,7)-DATE(YEAR(3+C113-MOD(C113-2,7)),1,))/7)))</f>
        <v/>
      </c>
      <c r="I113" s="50"/>
      <c r="J113" s="161" t="str">
        <f t="shared" si="35"/>
        <v>Sa</v>
      </c>
      <c r="K113" s="162">
        <f>+K111+1</f>
        <v>44429</v>
      </c>
      <c r="L113" s="47" t="str">
        <f t="shared" si="36"/>
        <v/>
      </c>
      <c r="M113" s="497" t="str">
        <f t="shared" si="37"/>
        <v/>
      </c>
      <c r="N113" s="48" t="str">
        <f t="shared" si="38"/>
        <v/>
      </c>
      <c r="O113" s="48">
        <f t="shared" si="56"/>
        <v>233</v>
      </c>
      <c r="P113" s="49" t="str">
        <f>IF(K113="","",IF(MOD(K113-2,7),"",INT((9+K113-MOD(K113-2,7)-DATE(YEAR(3+K113-MOD(K113-2,7)),1,))/7)))</f>
        <v/>
      </c>
      <c r="Q113" s="50"/>
      <c r="R113" s="161" t="str">
        <f t="shared" si="39"/>
        <v>Ma</v>
      </c>
      <c r="S113" s="162">
        <f>+S111+1</f>
        <v>44460</v>
      </c>
      <c r="T113" s="47" t="str">
        <f t="shared" si="40"/>
        <v/>
      </c>
      <c r="U113" s="497" t="str">
        <f t="shared" si="41"/>
        <v/>
      </c>
      <c r="V113" s="48" t="str">
        <f t="shared" si="42"/>
        <v/>
      </c>
      <c r="W113" s="48">
        <f t="shared" si="57"/>
        <v>264</v>
      </c>
      <c r="X113" s="49" t="str">
        <f>IF(S113="","",IF(MOD(S113-2,7),"",INT((9+S113-MOD(S113-2,7)-DATE(YEAR(3+S113-MOD(S113-2,7)),1,))/7)))</f>
        <v/>
      </c>
      <c r="Y113" s="50"/>
      <c r="Z113" s="161" t="str">
        <f t="shared" si="43"/>
        <v>Je</v>
      </c>
      <c r="AA113" s="162">
        <f>+AA111+1</f>
        <v>44490</v>
      </c>
      <c r="AB113" s="47" t="str">
        <f t="shared" si="44"/>
        <v/>
      </c>
      <c r="AC113" s="497" t="str">
        <f t="shared" si="45"/>
        <v/>
      </c>
      <c r="AD113" s="48" t="str">
        <f t="shared" si="46"/>
        <v/>
      </c>
      <c r="AE113" s="48">
        <f t="shared" si="58"/>
        <v>294</v>
      </c>
      <c r="AF113" s="49" t="str">
        <f>IF(AA113="","",IF(MOD(AA113-2,7),"",INT((9+AA113-MOD(AA113-2,7)-DATE(YEAR(3+AA113-MOD(AA113-2,7)),1,))/7)))</f>
        <v/>
      </c>
      <c r="AG113" s="50"/>
      <c r="AH113" s="161" t="str">
        <f t="shared" si="47"/>
        <v>Di</v>
      </c>
      <c r="AI113" s="162">
        <f>+AI111+1</f>
        <v>44521</v>
      </c>
      <c r="AJ113" s="47" t="str">
        <f t="shared" si="48"/>
        <v/>
      </c>
      <c r="AK113" s="497" t="str">
        <f t="shared" si="49"/>
        <v/>
      </c>
      <c r="AL113" s="48" t="str">
        <f t="shared" si="50"/>
        <v/>
      </c>
      <c r="AM113" s="48">
        <f t="shared" si="59"/>
        <v>325</v>
      </c>
      <c r="AN113" s="49" t="str">
        <f>IF(AI113="","",IF(MOD(AI113-2,7),"",INT((9+AI113-MOD(AI113-2,7)-DATE(YEAR(3+AI113-MOD(AI113-2,7)),1,))/7)))</f>
        <v/>
      </c>
      <c r="AO113" s="50"/>
      <c r="AP113" s="161" t="str">
        <f t="shared" si="51"/>
        <v>Ma</v>
      </c>
      <c r="AQ113" s="162">
        <f>+AQ111+1</f>
        <v>44551</v>
      </c>
      <c r="AR113" s="47" t="str">
        <f t="shared" si="52"/>
        <v/>
      </c>
      <c r="AS113" s="497" t="str">
        <f t="shared" si="53"/>
        <v/>
      </c>
      <c r="AT113" s="48" t="str">
        <f t="shared" si="54"/>
        <v>📅 Hiver</v>
      </c>
      <c r="AU113" s="48">
        <f t="shared" si="60"/>
        <v>355</v>
      </c>
      <c r="AV113" s="49" t="str">
        <f t="shared" si="61"/>
        <v/>
      </c>
      <c r="AW113" s="403"/>
    </row>
    <row r="114" spans="1:49" s="3" customFormat="1" ht="4" customHeight="1" x14ac:dyDescent="0.15">
      <c r="A114" s="402"/>
      <c r="B114" s="161"/>
      <c r="C114" s="162"/>
      <c r="D114" s="47"/>
      <c r="E114" s="497"/>
      <c r="F114" s="48"/>
      <c r="G114" s="48"/>
      <c r="H114" s="49"/>
      <c r="I114" s="50"/>
      <c r="J114" s="161"/>
      <c r="K114" s="162"/>
      <c r="L114" s="47"/>
      <c r="M114" s="497"/>
      <c r="N114" s="48"/>
      <c r="O114" s="48"/>
      <c r="P114" s="49"/>
      <c r="Q114" s="50"/>
      <c r="R114" s="161"/>
      <c r="S114" s="162"/>
      <c r="T114" s="47"/>
      <c r="U114" s="497"/>
      <c r="V114" s="48"/>
      <c r="W114" s="48"/>
      <c r="X114" s="49"/>
      <c r="Y114" s="50"/>
      <c r="Z114" s="161"/>
      <c r="AA114" s="162"/>
      <c r="AB114" s="47"/>
      <c r="AC114" s="497"/>
      <c r="AD114" s="48"/>
      <c r="AE114" s="48"/>
      <c r="AF114" s="49"/>
      <c r="AG114" s="50"/>
      <c r="AH114" s="161"/>
      <c r="AI114" s="162"/>
      <c r="AJ114" s="47"/>
      <c r="AK114" s="497"/>
      <c r="AL114" s="48"/>
      <c r="AM114" s="48"/>
      <c r="AN114" s="49"/>
      <c r="AO114" s="50"/>
      <c r="AP114" s="161"/>
      <c r="AQ114" s="162"/>
      <c r="AR114" s="47"/>
      <c r="AS114" s="497"/>
      <c r="AT114" s="48"/>
      <c r="AU114" s="48"/>
      <c r="AV114" s="49"/>
      <c r="AW114" s="403"/>
    </row>
    <row r="115" spans="1:49" s="3" customFormat="1" ht="18" customHeight="1" x14ac:dyDescent="0.15">
      <c r="A115" s="402"/>
      <c r="B115" s="161" t="str">
        <f t="shared" si="31"/>
        <v>Je</v>
      </c>
      <c r="C115" s="162">
        <f>+C113+1</f>
        <v>44399</v>
      </c>
      <c r="D115" s="47" t="str">
        <f t="shared" si="32"/>
        <v/>
      </c>
      <c r="E115" s="497" t="str">
        <f t="shared" si="33"/>
        <v/>
      </c>
      <c r="F115" s="48" t="str">
        <f t="shared" si="34"/>
        <v/>
      </c>
      <c r="G115" s="48">
        <f t="shared" si="55"/>
        <v>203</v>
      </c>
      <c r="H115" s="49" t="str">
        <f>IF(C115="","",IF(MOD(C115-2,7),"",INT((9+C115-MOD(C115-2,7)-DATE(YEAR(3+C115-MOD(C115-2,7)),1,))/7)))</f>
        <v/>
      </c>
      <c r="I115" s="50"/>
      <c r="J115" s="161" t="str">
        <f t="shared" si="35"/>
        <v>Di</v>
      </c>
      <c r="K115" s="162">
        <f>+K113+1</f>
        <v>44430</v>
      </c>
      <c r="L115" s="47" t="str">
        <f t="shared" si="36"/>
        <v/>
      </c>
      <c r="M115" s="497" t="str">
        <f t="shared" si="37"/>
        <v>🌕</v>
      </c>
      <c r="N115" s="48" t="str">
        <f t="shared" si="38"/>
        <v/>
      </c>
      <c r="O115" s="48">
        <f t="shared" si="56"/>
        <v>234</v>
      </c>
      <c r="P115" s="49" t="str">
        <f>IF(K115="","",IF(MOD(K115-2,7),"",INT((9+K115-MOD(K115-2,7)-DATE(YEAR(3+K115-MOD(K115-2,7)),1,))/7)))</f>
        <v/>
      </c>
      <c r="Q115" s="50"/>
      <c r="R115" s="161" t="str">
        <f t="shared" si="39"/>
        <v>Me</v>
      </c>
      <c r="S115" s="162">
        <f>+S113+1</f>
        <v>44461</v>
      </c>
      <c r="T115" s="47" t="str">
        <f t="shared" si="40"/>
        <v/>
      </c>
      <c r="U115" s="497" t="str">
        <f t="shared" si="41"/>
        <v/>
      </c>
      <c r="V115" s="48" t="str">
        <f t="shared" si="42"/>
        <v>📅 Automne</v>
      </c>
      <c r="W115" s="48">
        <f t="shared" si="57"/>
        <v>265</v>
      </c>
      <c r="X115" s="49" t="str">
        <f>IF(S115="","",IF(MOD(S115-2,7),"",INT((9+S115-MOD(S115-2,7)-DATE(YEAR(3+S115-MOD(S115-2,7)),1,))/7)))</f>
        <v/>
      </c>
      <c r="Y115" s="50"/>
      <c r="Z115" s="161" t="str">
        <f t="shared" si="43"/>
        <v>Ve</v>
      </c>
      <c r="AA115" s="162">
        <f>+AA113+1</f>
        <v>44491</v>
      </c>
      <c r="AB115" s="47" t="str">
        <f t="shared" si="44"/>
        <v/>
      </c>
      <c r="AC115" s="497" t="str">
        <f t="shared" si="45"/>
        <v/>
      </c>
      <c r="AD115" s="48" t="str">
        <f t="shared" si="46"/>
        <v/>
      </c>
      <c r="AE115" s="48">
        <f t="shared" si="58"/>
        <v>295</v>
      </c>
      <c r="AF115" s="49" t="str">
        <f>IF(AA115="","",IF(MOD(AA115-2,7),"",INT((9+AA115-MOD(AA115-2,7)-DATE(YEAR(3+AA115-MOD(AA115-2,7)),1,))/7)))</f>
        <v/>
      </c>
      <c r="AG115" s="50"/>
      <c r="AH115" s="161" t="str">
        <f t="shared" si="47"/>
        <v>Lu</v>
      </c>
      <c r="AI115" s="162">
        <f>+AI113+1</f>
        <v>44522</v>
      </c>
      <c r="AJ115" s="47" t="str">
        <f t="shared" si="48"/>
        <v/>
      </c>
      <c r="AK115" s="497" t="str">
        <f t="shared" si="49"/>
        <v/>
      </c>
      <c r="AL115" s="48" t="str">
        <f t="shared" si="50"/>
        <v/>
      </c>
      <c r="AM115" s="48">
        <f t="shared" si="59"/>
        <v>326</v>
      </c>
      <c r="AN115" s="49">
        <f>IF(AI115="","",IF(MOD(AI115-2,7),"",INT((9+AI115-MOD(AI115-2,7)-DATE(YEAR(3+AI115-MOD(AI115-2,7)),1,))/7)))</f>
        <v>47</v>
      </c>
      <c r="AO115" s="50"/>
      <c r="AP115" s="161" t="str">
        <f t="shared" si="51"/>
        <v>Me</v>
      </c>
      <c r="AQ115" s="162">
        <f>+AQ113+1</f>
        <v>44552</v>
      </c>
      <c r="AR115" s="47" t="str">
        <f t="shared" si="52"/>
        <v/>
      </c>
      <c r="AS115" s="497" t="str">
        <f t="shared" si="53"/>
        <v/>
      </c>
      <c r="AT115" s="48" t="str">
        <f t="shared" si="54"/>
        <v/>
      </c>
      <c r="AU115" s="48">
        <f t="shared" si="60"/>
        <v>356</v>
      </c>
      <c r="AV115" s="49" t="str">
        <f t="shared" si="61"/>
        <v/>
      </c>
      <c r="AW115" s="403"/>
    </row>
    <row r="116" spans="1:49" s="3" customFormat="1" ht="4" customHeight="1" x14ac:dyDescent="0.15">
      <c r="A116" s="402"/>
      <c r="B116" s="161"/>
      <c r="C116" s="162"/>
      <c r="D116" s="47"/>
      <c r="E116" s="497"/>
      <c r="F116" s="48"/>
      <c r="G116" s="48"/>
      <c r="H116" s="49"/>
      <c r="I116" s="50"/>
      <c r="J116" s="161"/>
      <c r="K116" s="162"/>
      <c r="L116" s="47"/>
      <c r="M116" s="497"/>
      <c r="N116" s="48"/>
      <c r="O116" s="48"/>
      <c r="P116" s="49"/>
      <c r="Q116" s="50"/>
      <c r="R116" s="161"/>
      <c r="S116" s="162"/>
      <c r="T116" s="47"/>
      <c r="U116" s="497"/>
      <c r="V116" s="48"/>
      <c r="W116" s="48"/>
      <c r="X116" s="49"/>
      <c r="Y116" s="50"/>
      <c r="Z116" s="161"/>
      <c r="AA116" s="162"/>
      <c r="AB116" s="47"/>
      <c r="AC116" s="497"/>
      <c r="AD116" s="48"/>
      <c r="AE116" s="48"/>
      <c r="AF116" s="49"/>
      <c r="AG116" s="50"/>
      <c r="AH116" s="161"/>
      <c r="AI116" s="162"/>
      <c r="AJ116" s="47"/>
      <c r="AK116" s="497"/>
      <c r="AL116" s="48"/>
      <c r="AM116" s="48"/>
      <c r="AN116" s="49"/>
      <c r="AO116" s="50"/>
      <c r="AP116" s="161"/>
      <c r="AQ116" s="162"/>
      <c r="AR116" s="47"/>
      <c r="AS116" s="497"/>
      <c r="AT116" s="48"/>
      <c r="AU116" s="48"/>
      <c r="AV116" s="49"/>
      <c r="AW116" s="403"/>
    </row>
    <row r="117" spans="1:49" s="3" customFormat="1" ht="18" customHeight="1" x14ac:dyDescent="0.15">
      <c r="A117" s="402"/>
      <c r="B117" s="161" t="str">
        <f t="shared" si="31"/>
        <v>Ve</v>
      </c>
      <c r="C117" s="162">
        <f>+C115+1</f>
        <v>44400</v>
      </c>
      <c r="D117" s="47" t="str">
        <f t="shared" si="32"/>
        <v/>
      </c>
      <c r="E117" s="497" t="str">
        <f t="shared" si="33"/>
        <v/>
      </c>
      <c r="F117" s="48" t="str">
        <f t="shared" si="34"/>
        <v/>
      </c>
      <c r="G117" s="48">
        <f t="shared" si="55"/>
        <v>204</v>
      </c>
      <c r="H117" s="49" t="str">
        <f>IF(C117="","",IF(MOD(C117-2,7),"",INT((9+C117-MOD(C117-2,7)-DATE(YEAR(3+C117-MOD(C117-2,7)),1,))/7)))</f>
        <v/>
      </c>
      <c r="I117" s="50"/>
      <c r="J117" s="161" t="str">
        <f t="shared" si="35"/>
        <v>Lu</v>
      </c>
      <c r="K117" s="162">
        <f>+K115+1</f>
        <v>44431</v>
      </c>
      <c r="L117" s="47" t="str">
        <f t="shared" si="36"/>
        <v/>
      </c>
      <c r="M117" s="497" t="str">
        <f t="shared" si="37"/>
        <v/>
      </c>
      <c r="N117" s="48" t="str">
        <f t="shared" si="38"/>
        <v/>
      </c>
      <c r="O117" s="48">
        <f t="shared" si="56"/>
        <v>235</v>
      </c>
      <c r="P117" s="49">
        <f>IF(K117="","",IF(MOD(K117-2,7),"",INT((9+K117-MOD(K117-2,7)-DATE(YEAR(3+K117-MOD(K117-2,7)),1,))/7)))</f>
        <v>34</v>
      </c>
      <c r="Q117" s="50"/>
      <c r="R117" s="161" t="str">
        <f t="shared" si="39"/>
        <v>Je</v>
      </c>
      <c r="S117" s="162">
        <f>+S115+1</f>
        <v>44462</v>
      </c>
      <c r="T117" s="47" t="str">
        <f t="shared" si="40"/>
        <v/>
      </c>
      <c r="U117" s="497" t="str">
        <f t="shared" si="41"/>
        <v/>
      </c>
      <c r="V117" s="48" t="str">
        <f t="shared" si="42"/>
        <v/>
      </c>
      <c r="W117" s="48">
        <f t="shared" si="57"/>
        <v>266</v>
      </c>
      <c r="X117" s="49" t="str">
        <f>IF(S117="","",IF(MOD(S117-2,7),"",INT((9+S117-MOD(S117-2,7)-DATE(YEAR(3+S117-MOD(S117-2,7)),1,))/7)))</f>
        <v/>
      </c>
      <c r="Y117" s="50"/>
      <c r="Z117" s="161" t="str">
        <f t="shared" si="43"/>
        <v>Sa</v>
      </c>
      <c r="AA117" s="162">
        <f>+AA115+1</f>
        <v>44492</v>
      </c>
      <c r="AB117" s="47" t="str">
        <f t="shared" si="44"/>
        <v/>
      </c>
      <c r="AC117" s="497" t="str">
        <f t="shared" si="45"/>
        <v/>
      </c>
      <c r="AD117" s="48" t="str">
        <f t="shared" si="46"/>
        <v/>
      </c>
      <c r="AE117" s="48">
        <f t="shared" si="58"/>
        <v>296</v>
      </c>
      <c r="AF117" s="49" t="str">
        <f>IF(AA117="","",IF(MOD(AA117-2,7),"",INT((9+AA117-MOD(AA117-2,7)-DATE(YEAR(3+AA117-MOD(AA117-2,7)),1,))/7)))</f>
        <v/>
      </c>
      <c r="AG117" s="50"/>
      <c r="AH117" s="161" t="str">
        <f t="shared" si="47"/>
        <v>Ma</v>
      </c>
      <c r="AI117" s="162">
        <f>+AI115+1</f>
        <v>44523</v>
      </c>
      <c r="AJ117" s="47" t="str">
        <f t="shared" si="48"/>
        <v/>
      </c>
      <c r="AK117" s="497" t="str">
        <f t="shared" si="49"/>
        <v/>
      </c>
      <c r="AL117" s="48" t="str">
        <f t="shared" si="50"/>
        <v/>
      </c>
      <c r="AM117" s="48">
        <f t="shared" si="59"/>
        <v>327</v>
      </c>
      <c r="AN117" s="49" t="str">
        <f>IF(AI117="","",IF(MOD(AI117-2,7),"",INT((9+AI117-MOD(AI117-2,7)-DATE(YEAR(3+AI117-MOD(AI117-2,7)),1,))/7)))</f>
        <v/>
      </c>
      <c r="AO117" s="50"/>
      <c r="AP117" s="161" t="str">
        <f t="shared" si="51"/>
        <v>Je</v>
      </c>
      <c r="AQ117" s="162">
        <f>+AQ115+1</f>
        <v>44553</v>
      </c>
      <c r="AR117" s="47" t="str">
        <f t="shared" si="52"/>
        <v/>
      </c>
      <c r="AS117" s="497" t="str">
        <f t="shared" si="53"/>
        <v/>
      </c>
      <c r="AT117" s="48" t="str">
        <f t="shared" si="54"/>
        <v/>
      </c>
      <c r="AU117" s="48">
        <f t="shared" si="60"/>
        <v>357</v>
      </c>
      <c r="AV117" s="49" t="str">
        <f t="shared" si="61"/>
        <v/>
      </c>
      <c r="AW117" s="403"/>
    </row>
    <row r="118" spans="1:49" s="3" customFormat="1" ht="4" customHeight="1" x14ac:dyDescent="0.15">
      <c r="A118" s="402"/>
      <c r="B118" s="161"/>
      <c r="C118" s="162"/>
      <c r="D118" s="47"/>
      <c r="E118" s="497"/>
      <c r="F118" s="48"/>
      <c r="G118" s="48"/>
      <c r="H118" s="49"/>
      <c r="I118" s="50"/>
      <c r="J118" s="161"/>
      <c r="K118" s="162"/>
      <c r="L118" s="47"/>
      <c r="M118" s="497"/>
      <c r="N118" s="48"/>
      <c r="O118" s="48"/>
      <c r="P118" s="49"/>
      <c r="Q118" s="50"/>
      <c r="R118" s="161"/>
      <c r="S118" s="162"/>
      <c r="T118" s="47"/>
      <c r="U118" s="497"/>
      <c r="V118" s="48"/>
      <c r="W118" s="48"/>
      <c r="X118" s="49"/>
      <c r="Y118" s="50"/>
      <c r="Z118" s="161"/>
      <c r="AA118" s="162"/>
      <c r="AB118" s="47"/>
      <c r="AC118" s="497"/>
      <c r="AD118" s="48"/>
      <c r="AE118" s="48"/>
      <c r="AF118" s="49"/>
      <c r="AG118" s="50"/>
      <c r="AH118" s="161"/>
      <c r="AI118" s="162"/>
      <c r="AJ118" s="47"/>
      <c r="AK118" s="497"/>
      <c r="AL118" s="48"/>
      <c r="AM118" s="48"/>
      <c r="AN118" s="49"/>
      <c r="AO118" s="50"/>
      <c r="AP118" s="161"/>
      <c r="AQ118" s="162"/>
      <c r="AR118" s="47"/>
      <c r="AS118" s="497"/>
      <c r="AT118" s="48"/>
      <c r="AU118" s="48"/>
      <c r="AV118" s="49"/>
      <c r="AW118" s="403"/>
    </row>
    <row r="119" spans="1:49" s="3" customFormat="1" ht="18" customHeight="1" x14ac:dyDescent="0.15">
      <c r="A119" s="402"/>
      <c r="B119" s="161" t="str">
        <f t="shared" si="31"/>
        <v>Sa</v>
      </c>
      <c r="C119" s="162">
        <f>+C117+1</f>
        <v>44401</v>
      </c>
      <c r="D119" s="47" t="str">
        <f t="shared" si="32"/>
        <v/>
      </c>
      <c r="E119" s="497" t="str">
        <f t="shared" si="33"/>
        <v>🌕</v>
      </c>
      <c r="F119" s="48" t="str">
        <f t="shared" si="34"/>
        <v/>
      </c>
      <c r="G119" s="48">
        <f t="shared" si="55"/>
        <v>205</v>
      </c>
      <c r="H119" s="49" t="str">
        <f>IF(C119="","",IF(MOD(C119-2,7),"",INT((9+C119-MOD(C119-2,7)-DATE(YEAR(3+C119-MOD(C119-2,7)),1,))/7)))</f>
        <v/>
      </c>
      <c r="I119" s="50"/>
      <c r="J119" s="161" t="str">
        <f t="shared" si="35"/>
        <v>Ma</v>
      </c>
      <c r="K119" s="162">
        <f>+K117+1</f>
        <v>44432</v>
      </c>
      <c r="L119" s="47" t="str">
        <f t="shared" si="36"/>
        <v/>
      </c>
      <c r="M119" s="497" t="str">
        <f t="shared" si="37"/>
        <v/>
      </c>
      <c r="N119" s="48" t="str">
        <f t="shared" si="38"/>
        <v/>
      </c>
      <c r="O119" s="48">
        <f t="shared" si="56"/>
        <v>236</v>
      </c>
      <c r="P119" s="49" t="str">
        <f>IF(K119="","",IF(MOD(K119-2,7),"",INT((9+K119-MOD(K119-2,7)-DATE(YEAR(3+K119-MOD(K119-2,7)),1,))/7)))</f>
        <v/>
      </c>
      <c r="Q119" s="50"/>
      <c r="R119" s="161" t="str">
        <f t="shared" si="39"/>
        <v>Ve</v>
      </c>
      <c r="S119" s="162">
        <f>+S117+1</f>
        <v>44463</v>
      </c>
      <c r="T119" s="47" t="str">
        <f t="shared" si="40"/>
        <v/>
      </c>
      <c r="U119" s="497" t="str">
        <f t="shared" si="41"/>
        <v/>
      </c>
      <c r="V119" s="48" t="str">
        <f t="shared" si="42"/>
        <v/>
      </c>
      <c r="W119" s="48">
        <f t="shared" si="57"/>
        <v>267</v>
      </c>
      <c r="X119" s="49" t="str">
        <f>IF(S119="","",IF(MOD(S119-2,7),"",INT((9+S119-MOD(S119-2,7)-DATE(YEAR(3+S119-MOD(S119-2,7)),1,))/7)))</f>
        <v/>
      </c>
      <c r="Y119" s="50"/>
      <c r="Z119" s="161" t="str">
        <f t="shared" si="43"/>
        <v>Di</v>
      </c>
      <c r="AA119" s="162">
        <f>+AA117+1</f>
        <v>44493</v>
      </c>
      <c r="AB119" s="47" t="str">
        <f t="shared" si="44"/>
        <v/>
      </c>
      <c r="AC119" s="497" t="str">
        <f t="shared" si="45"/>
        <v/>
      </c>
      <c r="AD119" s="48" t="str">
        <f t="shared" si="46"/>
        <v/>
      </c>
      <c r="AE119" s="48">
        <f t="shared" si="58"/>
        <v>297</v>
      </c>
      <c r="AF119" s="49" t="str">
        <f>IF(AA119="","",IF(MOD(AA119-2,7),"",INT((9+AA119-MOD(AA119-2,7)-DATE(YEAR(3+AA119-MOD(AA119-2,7)),1,))/7)))</f>
        <v/>
      </c>
      <c r="AG119" s="50"/>
      <c r="AH119" s="161" t="str">
        <f t="shared" si="47"/>
        <v>Me</v>
      </c>
      <c r="AI119" s="162">
        <f>+AI117+1</f>
        <v>44524</v>
      </c>
      <c r="AJ119" s="47" t="str">
        <f t="shared" si="48"/>
        <v/>
      </c>
      <c r="AK119" s="497" t="str">
        <f t="shared" si="49"/>
        <v/>
      </c>
      <c r="AL119" s="48" t="str">
        <f t="shared" si="50"/>
        <v/>
      </c>
      <c r="AM119" s="48">
        <f t="shared" si="59"/>
        <v>328</v>
      </c>
      <c r="AN119" s="49" t="str">
        <f>IF(AI119="","",IF(MOD(AI119-2,7),"",INT((9+AI119-MOD(AI119-2,7)-DATE(YEAR(3+AI119-MOD(AI119-2,7)),1,))/7)))</f>
        <v/>
      </c>
      <c r="AO119" s="50"/>
      <c r="AP119" s="161" t="str">
        <f t="shared" si="51"/>
        <v>Ve</v>
      </c>
      <c r="AQ119" s="162">
        <f>+AQ117+1</f>
        <v>44554</v>
      </c>
      <c r="AR119" s="47" t="str">
        <f t="shared" si="52"/>
        <v/>
      </c>
      <c r="AS119" s="497" t="str">
        <f t="shared" si="53"/>
        <v/>
      </c>
      <c r="AT119" s="48" t="str">
        <f t="shared" si="54"/>
        <v/>
      </c>
      <c r="AU119" s="48">
        <f t="shared" si="60"/>
        <v>358</v>
      </c>
      <c r="AV119" s="49" t="str">
        <f t="shared" si="61"/>
        <v/>
      </c>
      <c r="AW119" s="403"/>
    </row>
    <row r="120" spans="1:49" s="3" customFormat="1" ht="4" customHeight="1" x14ac:dyDescent="0.15">
      <c r="A120" s="402"/>
      <c r="B120" s="161"/>
      <c r="C120" s="162"/>
      <c r="D120" s="47"/>
      <c r="E120" s="497"/>
      <c r="F120" s="48"/>
      <c r="G120" s="48"/>
      <c r="H120" s="49"/>
      <c r="I120" s="50"/>
      <c r="J120" s="161"/>
      <c r="K120" s="162"/>
      <c r="L120" s="47"/>
      <c r="M120" s="497"/>
      <c r="N120" s="48"/>
      <c r="O120" s="48"/>
      <c r="P120" s="49"/>
      <c r="Q120" s="50"/>
      <c r="R120" s="161"/>
      <c r="S120" s="162"/>
      <c r="T120" s="47"/>
      <c r="U120" s="497"/>
      <c r="V120" s="48"/>
      <c r="W120" s="48"/>
      <c r="X120" s="49"/>
      <c r="Y120" s="50"/>
      <c r="Z120" s="161"/>
      <c r="AA120" s="162"/>
      <c r="AB120" s="47"/>
      <c r="AC120" s="497"/>
      <c r="AD120" s="48"/>
      <c r="AE120" s="48"/>
      <c r="AF120" s="49"/>
      <c r="AG120" s="50"/>
      <c r="AH120" s="161"/>
      <c r="AI120" s="162"/>
      <c r="AJ120" s="47"/>
      <c r="AK120" s="497"/>
      <c r="AL120" s="48"/>
      <c r="AM120" s="48"/>
      <c r="AN120" s="49"/>
      <c r="AO120" s="50"/>
      <c r="AP120" s="161"/>
      <c r="AQ120" s="162"/>
      <c r="AR120" s="47"/>
      <c r="AS120" s="497"/>
      <c r="AT120" s="48"/>
      <c r="AU120" s="48"/>
      <c r="AV120" s="49"/>
      <c r="AW120" s="403"/>
    </row>
    <row r="121" spans="1:49" s="3" customFormat="1" ht="18" customHeight="1" x14ac:dyDescent="0.15">
      <c r="A121" s="402"/>
      <c r="B121" s="161" t="str">
        <f t="shared" si="31"/>
        <v>Di</v>
      </c>
      <c r="C121" s="162">
        <f>+C119+1</f>
        <v>44402</v>
      </c>
      <c r="D121" s="47" t="str">
        <f t="shared" si="32"/>
        <v/>
      </c>
      <c r="E121" s="497" t="str">
        <f t="shared" si="33"/>
        <v/>
      </c>
      <c r="F121" s="48" t="str">
        <f t="shared" si="34"/>
        <v/>
      </c>
      <c r="G121" s="48">
        <f t="shared" si="55"/>
        <v>206</v>
      </c>
      <c r="H121" s="49" t="str">
        <f>IF(C121="","",IF(MOD(C121-2,7),"",INT((9+C121-MOD(C121-2,7)-DATE(YEAR(3+C121-MOD(C121-2,7)),1,))/7)))</f>
        <v/>
      </c>
      <c r="I121" s="50"/>
      <c r="J121" s="161" t="str">
        <f t="shared" si="35"/>
        <v>Me</v>
      </c>
      <c r="K121" s="162">
        <f>+K119+1</f>
        <v>44433</v>
      </c>
      <c r="L121" s="47" t="str">
        <f t="shared" si="36"/>
        <v/>
      </c>
      <c r="M121" s="497" t="str">
        <f t="shared" si="37"/>
        <v/>
      </c>
      <c r="N121" s="48" t="str">
        <f t="shared" si="38"/>
        <v/>
      </c>
      <c r="O121" s="48">
        <f t="shared" si="56"/>
        <v>237</v>
      </c>
      <c r="P121" s="49" t="str">
        <f>IF(K121="","",IF(MOD(K121-2,7),"",INT((9+K121-MOD(K121-2,7)-DATE(YEAR(3+K121-MOD(K121-2,7)),1,))/7)))</f>
        <v/>
      </c>
      <c r="Q121" s="50"/>
      <c r="R121" s="161" t="str">
        <f t="shared" si="39"/>
        <v>Sa</v>
      </c>
      <c r="S121" s="162">
        <f>+S119+1</f>
        <v>44464</v>
      </c>
      <c r="T121" s="47" t="str">
        <f t="shared" si="40"/>
        <v/>
      </c>
      <c r="U121" s="497" t="str">
        <f t="shared" si="41"/>
        <v/>
      </c>
      <c r="V121" s="48" t="str">
        <f t="shared" si="42"/>
        <v/>
      </c>
      <c r="W121" s="48">
        <f t="shared" si="57"/>
        <v>268</v>
      </c>
      <c r="X121" s="49" t="str">
        <f>IF(S121="","",IF(MOD(S121-2,7),"",INT((9+S121-MOD(S121-2,7)-DATE(YEAR(3+S121-MOD(S121-2,7)),1,))/7)))</f>
        <v/>
      </c>
      <c r="Y121" s="50"/>
      <c r="Z121" s="161" t="str">
        <f t="shared" si="43"/>
        <v>Lu</v>
      </c>
      <c r="AA121" s="162">
        <f>+AA119+1</f>
        <v>44494</v>
      </c>
      <c r="AB121" s="47" t="str">
        <f t="shared" si="44"/>
        <v/>
      </c>
      <c r="AC121" s="497" t="str">
        <f t="shared" si="45"/>
        <v/>
      </c>
      <c r="AD121" s="48" t="str">
        <f t="shared" si="46"/>
        <v/>
      </c>
      <c r="AE121" s="48">
        <f t="shared" si="58"/>
        <v>298</v>
      </c>
      <c r="AF121" s="49">
        <f>IF(AA121="","",IF(MOD(AA121-2,7),"",INT((9+AA121-MOD(AA121-2,7)-DATE(YEAR(3+AA121-MOD(AA121-2,7)),1,))/7)))</f>
        <v>43</v>
      </c>
      <c r="AG121" s="50"/>
      <c r="AH121" s="161" t="str">
        <f t="shared" si="47"/>
        <v>Je</v>
      </c>
      <c r="AI121" s="162">
        <f>+AI119+1</f>
        <v>44525</v>
      </c>
      <c r="AJ121" s="47" t="str">
        <f t="shared" si="48"/>
        <v/>
      </c>
      <c r="AK121" s="497" t="str">
        <f t="shared" si="49"/>
        <v/>
      </c>
      <c r="AL121" s="48" t="str">
        <f t="shared" si="50"/>
        <v/>
      </c>
      <c r="AM121" s="48">
        <f t="shared" si="59"/>
        <v>329</v>
      </c>
      <c r="AN121" s="49" t="str">
        <f>IF(AI121="","",IF(MOD(AI121-2,7),"",INT((9+AI121-MOD(AI121-2,7)-DATE(YEAR(3+AI121-MOD(AI121-2,7)),1,))/7)))</f>
        <v/>
      </c>
      <c r="AO121" s="50"/>
      <c r="AP121" s="161" t="str">
        <f t="shared" si="51"/>
        <v>Sa</v>
      </c>
      <c r="AQ121" s="162">
        <f>+AQ119+1</f>
        <v>44555</v>
      </c>
      <c r="AR121" s="47" t="str">
        <f t="shared" si="52"/>
        <v>F</v>
      </c>
      <c r="AS121" s="497" t="str">
        <f t="shared" si="53"/>
        <v/>
      </c>
      <c r="AT121" s="48" t="str">
        <f t="shared" si="54"/>
        <v>Noël</v>
      </c>
      <c r="AU121" s="48">
        <f t="shared" si="60"/>
        <v>359</v>
      </c>
      <c r="AV121" s="49" t="str">
        <f t="shared" si="61"/>
        <v/>
      </c>
      <c r="AW121" s="403"/>
    </row>
    <row r="122" spans="1:49" s="3" customFormat="1" ht="4" customHeight="1" x14ac:dyDescent="0.15">
      <c r="A122" s="402"/>
      <c r="B122" s="161"/>
      <c r="C122" s="162"/>
      <c r="D122" s="47"/>
      <c r="E122" s="497"/>
      <c r="F122" s="48"/>
      <c r="G122" s="48"/>
      <c r="H122" s="49"/>
      <c r="I122" s="50"/>
      <c r="J122" s="161"/>
      <c r="K122" s="162"/>
      <c r="L122" s="47"/>
      <c r="M122" s="497"/>
      <c r="N122" s="48"/>
      <c r="O122" s="48"/>
      <c r="P122" s="49"/>
      <c r="Q122" s="50"/>
      <c r="R122" s="161"/>
      <c r="S122" s="162"/>
      <c r="T122" s="47"/>
      <c r="U122" s="497"/>
      <c r="V122" s="48"/>
      <c r="W122" s="48"/>
      <c r="X122" s="49"/>
      <c r="Y122" s="50"/>
      <c r="Z122" s="161"/>
      <c r="AA122" s="162"/>
      <c r="AB122" s="47"/>
      <c r="AC122" s="497"/>
      <c r="AD122" s="48"/>
      <c r="AE122" s="48"/>
      <c r="AF122" s="49"/>
      <c r="AG122" s="50"/>
      <c r="AH122" s="161"/>
      <c r="AI122" s="162"/>
      <c r="AJ122" s="47"/>
      <c r="AK122" s="497"/>
      <c r="AL122" s="48"/>
      <c r="AM122" s="48"/>
      <c r="AN122" s="49"/>
      <c r="AO122" s="50"/>
      <c r="AP122" s="161"/>
      <c r="AQ122" s="162"/>
      <c r="AR122" s="47"/>
      <c r="AS122" s="497"/>
      <c r="AT122" s="48"/>
      <c r="AU122" s="48"/>
      <c r="AV122" s="49"/>
      <c r="AW122" s="403"/>
    </row>
    <row r="123" spans="1:49" s="3" customFormat="1" ht="18" customHeight="1" x14ac:dyDescent="0.15">
      <c r="A123" s="402"/>
      <c r="B123" s="161" t="str">
        <f t="shared" si="31"/>
        <v>Lu</v>
      </c>
      <c r="C123" s="162">
        <f>+C121+1</f>
        <v>44403</v>
      </c>
      <c r="D123" s="47" t="str">
        <f t="shared" si="32"/>
        <v/>
      </c>
      <c r="E123" s="497" t="str">
        <f t="shared" si="33"/>
        <v/>
      </c>
      <c r="F123" s="48" t="str">
        <f t="shared" si="34"/>
        <v/>
      </c>
      <c r="G123" s="48">
        <f t="shared" si="55"/>
        <v>207</v>
      </c>
      <c r="H123" s="49">
        <f>IF(C123="","",IF(MOD(C123-2,7),"",INT((9+C123-MOD(C123-2,7)-DATE(YEAR(3+C123-MOD(C123-2,7)),1,))/7)))</f>
        <v>30</v>
      </c>
      <c r="I123" s="50"/>
      <c r="J123" s="161" t="str">
        <f t="shared" si="35"/>
        <v>Je</v>
      </c>
      <c r="K123" s="162">
        <f>+K121+1</f>
        <v>44434</v>
      </c>
      <c r="L123" s="47" t="str">
        <f t="shared" si="36"/>
        <v/>
      </c>
      <c r="M123" s="497" t="str">
        <f t="shared" si="37"/>
        <v/>
      </c>
      <c r="N123" s="48" t="str">
        <f t="shared" si="38"/>
        <v/>
      </c>
      <c r="O123" s="48">
        <f t="shared" si="56"/>
        <v>238</v>
      </c>
      <c r="P123" s="49" t="str">
        <f>IF(K123="","",IF(MOD(K123-2,7),"",INT((9+K123-MOD(K123-2,7)-DATE(YEAR(3+K123-MOD(K123-2,7)),1,))/7)))</f>
        <v/>
      </c>
      <c r="Q123" s="50"/>
      <c r="R123" s="161" t="str">
        <f t="shared" si="39"/>
        <v>Di</v>
      </c>
      <c r="S123" s="162">
        <f>+S121+1</f>
        <v>44465</v>
      </c>
      <c r="T123" s="47" t="str">
        <f t="shared" si="40"/>
        <v/>
      </c>
      <c r="U123" s="497" t="str">
        <f t="shared" si="41"/>
        <v/>
      </c>
      <c r="V123" s="48" t="str">
        <f t="shared" si="42"/>
        <v/>
      </c>
      <c r="W123" s="48">
        <f t="shared" si="57"/>
        <v>269</v>
      </c>
      <c r="X123" s="49" t="str">
        <f>IF(S123="","",IF(MOD(S123-2,7),"",INT((9+S123-MOD(S123-2,7)-DATE(YEAR(3+S123-MOD(S123-2,7)),1,))/7)))</f>
        <v/>
      </c>
      <c r="Y123" s="50"/>
      <c r="Z123" s="161" t="str">
        <f t="shared" si="43"/>
        <v>Ma</v>
      </c>
      <c r="AA123" s="162">
        <f>+AA121+1</f>
        <v>44495</v>
      </c>
      <c r="AB123" s="47" t="str">
        <f t="shared" si="44"/>
        <v/>
      </c>
      <c r="AC123" s="497" t="str">
        <f t="shared" si="45"/>
        <v/>
      </c>
      <c r="AD123" s="48" t="str">
        <f t="shared" si="46"/>
        <v/>
      </c>
      <c r="AE123" s="48">
        <f t="shared" si="58"/>
        <v>299</v>
      </c>
      <c r="AF123" s="49" t="str">
        <f>IF(AA123="","",IF(MOD(AA123-2,7),"",INT((9+AA123-MOD(AA123-2,7)-DATE(YEAR(3+AA123-MOD(AA123-2,7)),1,))/7)))</f>
        <v/>
      </c>
      <c r="AG123" s="50"/>
      <c r="AH123" s="161" t="str">
        <f t="shared" si="47"/>
        <v>Ve</v>
      </c>
      <c r="AI123" s="162">
        <f>+AI121+1</f>
        <v>44526</v>
      </c>
      <c r="AJ123" s="47" t="str">
        <f t="shared" si="48"/>
        <v/>
      </c>
      <c r="AK123" s="497" t="str">
        <f t="shared" si="49"/>
        <v/>
      </c>
      <c r="AL123" s="48" t="str">
        <f t="shared" si="50"/>
        <v/>
      </c>
      <c r="AM123" s="48">
        <f t="shared" si="59"/>
        <v>330</v>
      </c>
      <c r="AN123" s="49" t="str">
        <f>IF(AI123="","",IF(MOD(AI123-2,7),"",INT((9+AI123-MOD(AI123-2,7)-DATE(YEAR(3+AI123-MOD(AI123-2,7)),1,))/7)))</f>
        <v/>
      </c>
      <c r="AO123" s="50"/>
      <c r="AP123" s="161" t="str">
        <f t="shared" si="51"/>
        <v>Di</v>
      </c>
      <c r="AQ123" s="162">
        <f>+AQ121+1</f>
        <v>44556</v>
      </c>
      <c r="AR123" s="47" t="str">
        <f t="shared" si="52"/>
        <v/>
      </c>
      <c r="AS123" s="497" t="str">
        <f t="shared" si="53"/>
        <v/>
      </c>
      <c r="AT123" s="48" t="str">
        <f t="shared" si="54"/>
        <v/>
      </c>
      <c r="AU123" s="48">
        <f t="shared" si="60"/>
        <v>360</v>
      </c>
      <c r="AV123" s="49" t="str">
        <f t="shared" si="61"/>
        <v/>
      </c>
      <c r="AW123" s="403"/>
    </row>
    <row r="124" spans="1:49" s="3" customFormat="1" ht="4" customHeight="1" x14ac:dyDescent="0.15">
      <c r="A124" s="402"/>
      <c r="B124" s="161"/>
      <c r="C124" s="162"/>
      <c r="D124" s="47"/>
      <c r="E124" s="497"/>
      <c r="F124" s="48"/>
      <c r="G124" s="48"/>
      <c r="H124" s="49"/>
      <c r="I124" s="50"/>
      <c r="J124" s="161"/>
      <c r="K124" s="162"/>
      <c r="L124" s="47"/>
      <c r="M124" s="497"/>
      <c r="N124" s="48"/>
      <c r="O124" s="48"/>
      <c r="P124" s="49"/>
      <c r="Q124" s="50"/>
      <c r="R124" s="161"/>
      <c r="S124" s="162"/>
      <c r="T124" s="47"/>
      <c r="U124" s="497"/>
      <c r="V124" s="48"/>
      <c r="W124" s="48"/>
      <c r="X124" s="49"/>
      <c r="Y124" s="50"/>
      <c r="Z124" s="161"/>
      <c r="AA124" s="162"/>
      <c r="AB124" s="47"/>
      <c r="AC124" s="497"/>
      <c r="AD124" s="48"/>
      <c r="AE124" s="48"/>
      <c r="AF124" s="49"/>
      <c r="AG124" s="50"/>
      <c r="AH124" s="161"/>
      <c r="AI124" s="162"/>
      <c r="AJ124" s="47"/>
      <c r="AK124" s="497"/>
      <c r="AL124" s="48"/>
      <c r="AM124" s="48"/>
      <c r="AN124" s="49"/>
      <c r="AO124" s="50"/>
      <c r="AP124" s="161"/>
      <c r="AQ124" s="162"/>
      <c r="AR124" s="47"/>
      <c r="AS124" s="497"/>
      <c r="AT124" s="48"/>
      <c r="AU124" s="48"/>
      <c r="AV124" s="49"/>
      <c r="AW124" s="403"/>
    </row>
    <row r="125" spans="1:49" s="3" customFormat="1" ht="18" customHeight="1" x14ac:dyDescent="0.15">
      <c r="A125" s="402"/>
      <c r="B125" s="161" t="str">
        <f t="shared" si="31"/>
        <v>Ma</v>
      </c>
      <c r="C125" s="162">
        <f>+C123+1</f>
        <v>44404</v>
      </c>
      <c r="D125" s="47" t="str">
        <f t="shared" si="32"/>
        <v/>
      </c>
      <c r="E125" s="497" t="str">
        <f t="shared" si="33"/>
        <v/>
      </c>
      <c r="F125" s="48" t="str">
        <f t="shared" si="34"/>
        <v/>
      </c>
      <c r="G125" s="48">
        <f t="shared" si="55"/>
        <v>208</v>
      </c>
      <c r="H125" s="49" t="str">
        <f>IF(C125="","",IF(MOD(C125-2,7),"",INT((9+C125-MOD(C125-2,7)-DATE(YEAR(3+C125-MOD(C125-2,7)),1,))/7)))</f>
        <v/>
      </c>
      <c r="I125" s="50"/>
      <c r="J125" s="161" t="str">
        <f t="shared" si="35"/>
        <v>Ve</v>
      </c>
      <c r="K125" s="162">
        <f>+K123+1</f>
        <v>44435</v>
      </c>
      <c r="L125" s="47" t="str">
        <f t="shared" si="36"/>
        <v/>
      </c>
      <c r="M125" s="497" t="str">
        <f t="shared" si="37"/>
        <v/>
      </c>
      <c r="N125" s="48" t="str">
        <f t="shared" si="38"/>
        <v/>
      </c>
      <c r="O125" s="48">
        <f t="shared" si="56"/>
        <v>239</v>
      </c>
      <c r="P125" s="49" t="str">
        <f>IF(K125="","",IF(MOD(K125-2,7),"",INT((9+K125-MOD(K125-2,7)-DATE(YEAR(3+K125-MOD(K125-2,7)),1,))/7)))</f>
        <v/>
      </c>
      <c r="Q125" s="50"/>
      <c r="R125" s="161" t="str">
        <f t="shared" si="39"/>
        <v>Lu</v>
      </c>
      <c r="S125" s="162">
        <f>+S123+1</f>
        <v>44466</v>
      </c>
      <c r="T125" s="47" t="str">
        <f t="shared" si="40"/>
        <v/>
      </c>
      <c r="U125" s="497" t="str">
        <f t="shared" si="41"/>
        <v/>
      </c>
      <c r="V125" s="48" t="str">
        <f t="shared" si="42"/>
        <v/>
      </c>
      <c r="W125" s="48">
        <f t="shared" si="57"/>
        <v>270</v>
      </c>
      <c r="X125" s="49">
        <f>IF(S125="","",IF(MOD(S125-2,7),"",INT((9+S125-MOD(S125-2,7)-DATE(YEAR(3+S125-MOD(S125-2,7)),1,))/7)))</f>
        <v>39</v>
      </c>
      <c r="Y125" s="50"/>
      <c r="Z125" s="161" t="str">
        <f t="shared" si="43"/>
        <v>Me</v>
      </c>
      <c r="AA125" s="162">
        <f>+AA123+1</f>
        <v>44496</v>
      </c>
      <c r="AB125" s="47" t="str">
        <f t="shared" si="44"/>
        <v/>
      </c>
      <c r="AC125" s="497" t="str">
        <f t="shared" si="45"/>
        <v/>
      </c>
      <c r="AD125" s="48" t="str">
        <f t="shared" si="46"/>
        <v/>
      </c>
      <c r="AE125" s="48">
        <f t="shared" si="58"/>
        <v>300</v>
      </c>
      <c r="AF125" s="49" t="str">
        <f>IF(AA125="","",IF(MOD(AA125-2,7),"",INT((9+AA125-MOD(AA125-2,7)-DATE(YEAR(3+AA125-MOD(AA125-2,7)),1,))/7)))</f>
        <v/>
      </c>
      <c r="AG125" s="50"/>
      <c r="AH125" s="161" t="str">
        <f t="shared" si="47"/>
        <v>Sa</v>
      </c>
      <c r="AI125" s="162">
        <f>+AI123+1</f>
        <v>44527</v>
      </c>
      <c r="AJ125" s="47" t="str">
        <f t="shared" si="48"/>
        <v/>
      </c>
      <c r="AK125" s="497" t="str">
        <f t="shared" si="49"/>
        <v>🌗</v>
      </c>
      <c r="AL125" s="48" t="str">
        <f t="shared" si="50"/>
        <v/>
      </c>
      <c r="AM125" s="48">
        <f t="shared" si="59"/>
        <v>331</v>
      </c>
      <c r="AN125" s="49" t="str">
        <f>IF(AI125="","",IF(MOD(AI125-2,7),"",INT((9+AI125-MOD(AI125-2,7)-DATE(YEAR(3+AI125-MOD(AI125-2,7)),1,))/7)))</f>
        <v/>
      </c>
      <c r="AO125" s="50"/>
      <c r="AP125" s="161" t="str">
        <f t="shared" si="51"/>
        <v>Lu</v>
      </c>
      <c r="AQ125" s="162">
        <f>+AQ123+1</f>
        <v>44557</v>
      </c>
      <c r="AR125" s="47" t="str">
        <f t="shared" si="52"/>
        <v/>
      </c>
      <c r="AS125" s="497" t="str">
        <f t="shared" si="53"/>
        <v>🌗</v>
      </c>
      <c r="AT125" s="48" t="str">
        <f t="shared" si="54"/>
        <v/>
      </c>
      <c r="AU125" s="48">
        <f t="shared" si="60"/>
        <v>361</v>
      </c>
      <c r="AV125" s="49">
        <f t="shared" si="61"/>
        <v>52</v>
      </c>
      <c r="AW125" s="403"/>
    </row>
    <row r="126" spans="1:49" s="3" customFormat="1" ht="4" customHeight="1" x14ac:dyDescent="0.15">
      <c r="A126" s="402"/>
      <c r="B126" s="161"/>
      <c r="C126" s="162"/>
      <c r="D126" s="47"/>
      <c r="E126" s="497"/>
      <c r="F126" s="48"/>
      <c r="G126" s="48"/>
      <c r="H126" s="49"/>
      <c r="I126" s="50"/>
      <c r="J126" s="161"/>
      <c r="K126" s="162"/>
      <c r="L126" s="47"/>
      <c r="M126" s="497"/>
      <c r="N126" s="48"/>
      <c r="O126" s="48"/>
      <c r="P126" s="49"/>
      <c r="Q126" s="50"/>
      <c r="R126" s="161"/>
      <c r="S126" s="162"/>
      <c r="T126" s="47"/>
      <c r="U126" s="497"/>
      <c r="V126" s="48"/>
      <c r="W126" s="48"/>
      <c r="X126" s="49"/>
      <c r="Y126" s="50"/>
      <c r="Z126" s="161"/>
      <c r="AA126" s="162"/>
      <c r="AB126" s="47"/>
      <c r="AC126" s="497"/>
      <c r="AD126" s="48"/>
      <c r="AE126" s="48"/>
      <c r="AF126" s="49"/>
      <c r="AG126" s="50"/>
      <c r="AH126" s="161"/>
      <c r="AI126" s="162"/>
      <c r="AJ126" s="47"/>
      <c r="AK126" s="497"/>
      <c r="AL126" s="48"/>
      <c r="AM126" s="48"/>
      <c r="AN126" s="49"/>
      <c r="AO126" s="50"/>
      <c r="AP126" s="161"/>
      <c r="AQ126" s="162"/>
      <c r="AR126" s="47"/>
      <c r="AS126" s="497"/>
      <c r="AT126" s="48"/>
      <c r="AU126" s="48"/>
      <c r="AV126" s="49"/>
      <c r="AW126" s="403"/>
    </row>
    <row r="127" spans="1:49" s="3" customFormat="1" ht="18" customHeight="1" x14ac:dyDescent="0.15">
      <c r="A127" s="402"/>
      <c r="B127" s="161" t="str">
        <f t="shared" si="31"/>
        <v>Me</v>
      </c>
      <c r="C127" s="162">
        <f>+C125+1</f>
        <v>44405</v>
      </c>
      <c r="D127" s="47" t="str">
        <f t="shared" si="32"/>
        <v/>
      </c>
      <c r="E127" s="497" t="str">
        <f t="shared" si="33"/>
        <v/>
      </c>
      <c r="F127" s="48" t="str">
        <f t="shared" si="34"/>
        <v/>
      </c>
      <c r="G127" s="48">
        <f t="shared" si="55"/>
        <v>209</v>
      </c>
      <c r="H127" s="49" t="str">
        <f>IF(C127="","",IF(MOD(C127-2,7),"",INT((9+C127-MOD(C127-2,7)-DATE(YEAR(3+C127-MOD(C127-2,7)),1,))/7)))</f>
        <v/>
      </c>
      <c r="I127" s="50"/>
      <c r="J127" s="161" t="str">
        <f t="shared" si="35"/>
        <v>Sa</v>
      </c>
      <c r="K127" s="162">
        <f>+K125+1</f>
        <v>44436</v>
      </c>
      <c r="L127" s="47" t="str">
        <f t="shared" si="36"/>
        <v/>
      </c>
      <c r="M127" s="497" t="str">
        <f t="shared" si="37"/>
        <v/>
      </c>
      <c r="N127" s="48" t="str">
        <f t="shared" si="38"/>
        <v/>
      </c>
      <c r="O127" s="48">
        <f t="shared" si="56"/>
        <v>240</v>
      </c>
      <c r="P127" s="49" t="str">
        <f>IF(K127="","",IF(MOD(K127-2,7),"",INT((9+K127-MOD(K127-2,7)-DATE(YEAR(3+K127-MOD(K127-2,7)),1,))/7)))</f>
        <v/>
      </c>
      <c r="Q127" s="50"/>
      <c r="R127" s="161" t="str">
        <f t="shared" si="39"/>
        <v>Ma</v>
      </c>
      <c r="S127" s="162">
        <f>+S125+1</f>
        <v>44467</v>
      </c>
      <c r="T127" s="47" t="str">
        <f t="shared" si="40"/>
        <v/>
      </c>
      <c r="U127" s="497" t="str">
        <f t="shared" si="41"/>
        <v/>
      </c>
      <c r="V127" s="48" t="str">
        <f t="shared" si="42"/>
        <v/>
      </c>
      <c r="W127" s="48">
        <f t="shared" si="57"/>
        <v>271</v>
      </c>
      <c r="X127" s="49" t="str">
        <f>IF(S127="","",IF(MOD(S127-2,7),"",INT((9+S127-MOD(S127-2,7)-DATE(YEAR(3+S127-MOD(S127-2,7)),1,))/7)))</f>
        <v/>
      </c>
      <c r="Y127" s="50"/>
      <c r="Z127" s="161" t="str">
        <f t="shared" si="43"/>
        <v>Je</v>
      </c>
      <c r="AA127" s="162">
        <f>+AA125+1</f>
        <v>44497</v>
      </c>
      <c r="AB127" s="47" t="str">
        <f t="shared" si="44"/>
        <v/>
      </c>
      <c r="AC127" s="497" t="str">
        <f t="shared" si="45"/>
        <v>🌗</v>
      </c>
      <c r="AD127" s="48" t="str">
        <f t="shared" si="46"/>
        <v/>
      </c>
      <c r="AE127" s="48">
        <f t="shared" si="58"/>
        <v>301</v>
      </c>
      <c r="AF127" s="49" t="str">
        <f>IF(AA127="","",IF(MOD(AA127-2,7),"",INT((9+AA127-MOD(AA127-2,7)-DATE(YEAR(3+AA127-MOD(AA127-2,7)),1,))/7)))</f>
        <v/>
      </c>
      <c r="AG127" s="50"/>
      <c r="AH127" s="161" t="str">
        <f t="shared" si="47"/>
        <v>Di</v>
      </c>
      <c r="AI127" s="162">
        <f>+AI125+1</f>
        <v>44528</v>
      </c>
      <c r="AJ127" s="47" t="str">
        <f t="shared" si="48"/>
        <v/>
      </c>
      <c r="AK127" s="497" t="str">
        <f t="shared" si="49"/>
        <v/>
      </c>
      <c r="AL127" s="48" t="str">
        <f t="shared" si="50"/>
        <v/>
      </c>
      <c r="AM127" s="48">
        <f t="shared" si="59"/>
        <v>332</v>
      </c>
      <c r="AN127" s="49" t="str">
        <f>IF(AI127="","",IF(MOD(AI127-2,7),"",INT((9+AI127-MOD(AI127-2,7)-DATE(YEAR(3+AI127-MOD(AI127-2,7)),1,))/7)))</f>
        <v/>
      </c>
      <c r="AO127" s="50"/>
      <c r="AP127" s="161" t="str">
        <f t="shared" si="51"/>
        <v>Ma</v>
      </c>
      <c r="AQ127" s="162">
        <f>+AQ125+1</f>
        <v>44558</v>
      </c>
      <c r="AR127" s="47" t="str">
        <f t="shared" si="52"/>
        <v/>
      </c>
      <c r="AS127" s="497" t="str">
        <f t="shared" si="53"/>
        <v/>
      </c>
      <c r="AT127" s="48" t="str">
        <f t="shared" si="54"/>
        <v/>
      </c>
      <c r="AU127" s="48">
        <f t="shared" si="60"/>
        <v>362</v>
      </c>
      <c r="AV127" s="49" t="str">
        <f t="shared" si="61"/>
        <v/>
      </c>
      <c r="AW127" s="403"/>
    </row>
    <row r="128" spans="1:49" s="3" customFormat="1" ht="4" customHeight="1" x14ac:dyDescent="0.15">
      <c r="A128" s="402"/>
      <c r="B128" s="161"/>
      <c r="C128" s="162"/>
      <c r="D128" s="47"/>
      <c r="E128" s="497"/>
      <c r="F128" s="48"/>
      <c r="G128" s="48"/>
      <c r="H128" s="49"/>
      <c r="I128" s="50"/>
      <c r="J128" s="161"/>
      <c r="K128" s="162"/>
      <c r="L128" s="47"/>
      <c r="M128" s="497"/>
      <c r="N128" s="48"/>
      <c r="O128" s="48"/>
      <c r="P128" s="49"/>
      <c r="Q128" s="50"/>
      <c r="R128" s="161"/>
      <c r="S128" s="162"/>
      <c r="T128" s="47"/>
      <c r="U128" s="497"/>
      <c r="V128" s="48"/>
      <c r="W128" s="48"/>
      <c r="X128" s="49"/>
      <c r="Y128" s="50"/>
      <c r="Z128" s="161"/>
      <c r="AA128" s="162"/>
      <c r="AB128" s="47"/>
      <c r="AC128" s="497"/>
      <c r="AD128" s="48"/>
      <c r="AE128" s="48"/>
      <c r="AF128" s="49"/>
      <c r="AG128" s="50"/>
      <c r="AH128" s="161"/>
      <c r="AI128" s="162"/>
      <c r="AJ128" s="47"/>
      <c r="AK128" s="497"/>
      <c r="AL128" s="48"/>
      <c r="AM128" s="48"/>
      <c r="AN128" s="49"/>
      <c r="AO128" s="50"/>
      <c r="AP128" s="161"/>
      <c r="AQ128" s="162"/>
      <c r="AR128" s="47"/>
      <c r="AS128" s="497"/>
      <c r="AT128" s="48"/>
      <c r="AU128" s="48"/>
      <c r="AV128" s="49"/>
      <c r="AW128" s="403"/>
    </row>
    <row r="129" spans="1:49" s="3" customFormat="1" ht="18" customHeight="1" x14ac:dyDescent="0.15">
      <c r="A129" s="402"/>
      <c r="B129" s="161" t="str">
        <f>IF(C129="","",VLOOKUP(WEEKDAY(C129,2),TAB_SEMAINE,2,FALSE))</f>
        <v>Je</v>
      </c>
      <c r="C129" s="162">
        <f>IF(C127="","",IF(MONTH(C127)&lt;&gt;MONTH(C127+1),"",C127+1))</f>
        <v>44406</v>
      </c>
      <c r="D129" s="47" t="str">
        <f t="shared" si="32"/>
        <v/>
      </c>
      <c r="E129" s="497" t="str">
        <f>IF(B129="","",IF(ISNA(VLOOKUP(C129,TAB_LUNE,2,FALSE)),"",VLOOKUP(C129,TAB_LUNE,2,FALSE)))</f>
        <v/>
      </c>
      <c r="F129" s="48" t="str">
        <f>IF(C129="","",IF(ISNA(VLOOKUP(C129,TAB_FERIES,3,FALSE)),"",VLOOKUP(C129,TAB_FERIES,3,FALSE)))</f>
        <v/>
      </c>
      <c r="G129" s="48">
        <f t="shared" si="55"/>
        <v>210</v>
      </c>
      <c r="H129" s="49" t="str">
        <f>IF(C129="","",IF(MOD(C129-2,7),"",INT((9+C129-MOD(C129-2,7)-DATE(YEAR(3+C129-MOD(C129-2,7)),1,))/7)))</f>
        <v/>
      </c>
      <c r="I129" s="50"/>
      <c r="J129" s="161" t="str">
        <f>IF(K129="","",VLOOKUP(WEEKDAY(K129,2),TAB_SEMAINE,2,FALSE))</f>
        <v>Di</v>
      </c>
      <c r="K129" s="162">
        <f>IF(K127="","",IF(MONTH(K127)&lt;&gt;MONTH(K127+1),"",K127+1))</f>
        <v>44437</v>
      </c>
      <c r="L129" s="47" t="str">
        <f t="shared" si="36"/>
        <v/>
      </c>
      <c r="M129" s="497" t="str">
        <f>IF(J129="","",IF(ISNA(VLOOKUP(K129,TAB_LUNE,2,FALSE)),"",VLOOKUP(K129,TAB_LUNE,2,FALSE)))</f>
        <v/>
      </c>
      <c r="N129" s="48" t="str">
        <f>IF(K129="","",IF(ISNA(VLOOKUP(K129,TAB_FERIES,3,FALSE)),"",VLOOKUP(K129,TAB_FERIES,3,FALSE)))</f>
        <v/>
      </c>
      <c r="O129" s="48">
        <f t="shared" si="56"/>
        <v>241</v>
      </c>
      <c r="P129" s="49" t="str">
        <f>IF(K129="","",IF(MOD(K129-2,7),"",INT((9+K129-MOD(K129-2,7)-DATE(YEAR(3+K129-MOD(K129-2,7)),1,))/7)))</f>
        <v/>
      </c>
      <c r="Q129" s="50"/>
      <c r="R129" s="161" t="str">
        <f>IF(S129="","",VLOOKUP(WEEKDAY(S129,2),TAB_SEMAINE,2,FALSE))</f>
        <v>Me</v>
      </c>
      <c r="S129" s="162">
        <f>IF(S127="","",IF(MONTH(S127)&lt;&gt;MONTH(S127+1),"",S127+1))</f>
        <v>44468</v>
      </c>
      <c r="T129" s="47" t="str">
        <f t="shared" si="40"/>
        <v/>
      </c>
      <c r="U129" s="497" t="str">
        <f>IF(R129="","",IF(ISNA(VLOOKUP(S129,TAB_LUNE,2,FALSE)),"",VLOOKUP(S129,TAB_LUNE,2,FALSE)))</f>
        <v>🌗</v>
      </c>
      <c r="V129" s="48" t="str">
        <f>IF(S129="","",IF(ISNA(VLOOKUP(S129,TAB_FERIES,3,FALSE)),"",VLOOKUP(S129,TAB_FERIES,3,FALSE)))</f>
        <v/>
      </c>
      <c r="W129" s="48">
        <f t="shared" si="57"/>
        <v>272</v>
      </c>
      <c r="X129" s="49" t="str">
        <f>IF(S129="","",IF(MOD(S129-2,7),"",INT((9+S129-MOD(S129-2,7)-DATE(YEAR(3+S129-MOD(S129-2,7)),1,))/7)))</f>
        <v/>
      </c>
      <c r="Y129" s="50"/>
      <c r="Z129" s="161" t="str">
        <f>IF(AA129="","",VLOOKUP(WEEKDAY(AA129,2),TAB_SEMAINE,2,FALSE))</f>
        <v>Ve</v>
      </c>
      <c r="AA129" s="162">
        <f>IF(AA127="","",IF(MONTH(AA127)&lt;&gt;MONTH(AA127+1),"",AA127+1))</f>
        <v>44498</v>
      </c>
      <c r="AB129" s="47" t="str">
        <f t="shared" si="44"/>
        <v/>
      </c>
      <c r="AC129" s="497" t="str">
        <f>IF(Z129="","",IF(ISNA(VLOOKUP(AA129,TAB_LUNE,2,FALSE)),"",VLOOKUP(AA129,TAB_LUNE,2,FALSE)))</f>
        <v/>
      </c>
      <c r="AD129" s="48" t="str">
        <f>IF(AA129="","",IF(ISNA(VLOOKUP(AA129,TAB_FERIES,3,FALSE)),"",VLOOKUP(AA129,TAB_FERIES,3,FALSE)))</f>
        <v/>
      </c>
      <c r="AE129" s="48">
        <f t="shared" si="58"/>
        <v>302</v>
      </c>
      <c r="AF129" s="49" t="str">
        <f>IF(AA129="","",IF(MOD(AA129-2,7),"",INT((9+AA129-MOD(AA129-2,7)-DATE(YEAR(3+AA129-MOD(AA129-2,7)),1,))/7)))</f>
        <v/>
      </c>
      <c r="AG129" s="50"/>
      <c r="AH129" s="161" t="str">
        <f>IF(AI129="","",VLOOKUP(WEEKDAY(AI129,2),TAB_SEMAINE,2,FALSE))</f>
        <v>Lu</v>
      </c>
      <c r="AI129" s="162">
        <f>IF(AI127="","",IF(MONTH(AI127)&lt;&gt;MONTH(AI127+1),"",AI127+1))</f>
        <v>44529</v>
      </c>
      <c r="AJ129" s="47" t="str">
        <f t="shared" si="48"/>
        <v/>
      </c>
      <c r="AK129" s="497" t="str">
        <f>IF(AH129="","",IF(ISNA(VLOOKUP(AI129,TAB_LUNE,2,FALSE)),"",VLOOKUP(AI129,TAB_LUNE,2,FALSE)))</f>
        <v/>
      </c>
      <c r="AL129" s="48" t="str">
        <f>IF(AI129="","",IF(ISNA(VLOOKUP(AI129,TAB_FERIES,3,FALSE)),"",VLOOKUP(AI129,TAB_FERIES,3,FALSE)))</f>
        <v/>
      </c>
      <c r="AM129" s="48">
        <f t="shared" si="59"/>
        <v>333</v>
      </c>
      <c r="AN129" s="49">
        <f>IF(AI129="","",IF(MOD(AI129-2,7),"",INT((9+AI129-MOD(AI129-2,7)-DATE(YEAR(3+AI129-MOD(AI129-2,7)),1,))/7)))</f>
        <v>48</v>
      </c>
      <c r="AO129" s="50"/>
      <c r="AP129" s="161" t="str">
        <f>IF(AQ129="","",VLOOKUP(WEEKDAY(AQ129,2),TAB_SEMAINE,2,FALSE))</f>
        <v>Me</v>
      </c>
      <c r="AQ129" s="162">
        <f>IF(AQ127="","",IF(MONTH(AQ127)&lt;&gt;MONTH(AQ127+1),"",AQ127+1))</f>
        <v>44559</v>
      </c>
      <c r="AR129" s="47" t="str">
        <f t="shared" si="52"/>
        <v/>
      </c>
      <c r="AS129" s="497" t="str">
        <f>IF(AP129="","",IF(ISNA(VLOOKUP(AQ129,TAB_LUNE,2,FALSE)),"",VLOOKUP(AQ129,TAB_LUNE,2,FALSE)))</f>
        <v/>
      </c>
      <c r="AT129" s="48" t="str">
        <f>IF(AQ129="","",IF(ISNA(VLOOKUP(AQ129,TAB_FERIES,3,FALSE)),"",VLOOKUP(AQ129,TAB_FERIES,3,FALSE)))</f>
        <v/>
      </c>
      <c r="AU129" s="48">
        <f t="shared" si="60"/>
        <v>363</v>
      </c>
      <c r="AV129" s="49" t="str">
        <f t="shared" si="61"/>
        <v/>
      </c>
      <c r="AW129" s="403"/>
    </row>
    <row r="130" spans="1:49" s="3" customFormat="1" ht="4" customHeight="1" x14ac:dyDescent="0.15">
      <c r="A130" s="402"/>
      <c r="B130" s="161"/>
      <c r="C130" s="162"/>
      <c r="D130" s="47"/>
      <c r="E130" s="497"/>
      <c r="F130" s="48"/>
      <c r="G130" s="48"/>
      <c r="H130" s="49"/>
      <c r="I130" s="50"/>
      <c r="J130" s="161"/>
      <c r="K130" s="162"/>
      <c r="L130" s="47"/>
      <c r="M130" s="497"/>
      <c r="N130" s="48"/>
      <c r="O130" s="48"/>
      <c r="P130" s="49"/>
      <c r="Q130" s="50"/>
      <c r="R130" s="161"/>
      <c r="S130" s="162"/>
      <c r="T130" s="47"/>
      <c r="U130" s="497"/>
      <c r="V130" s="48"/>
      <c r="W130" s="48"/>
      <c r="X130" s="49"/>
      <c r="Y130" s="50"/>
      <c r="Z130" s="161"/>
      <c r="AA130" s="162"/>
      <c r="AB130" s="47"/>
      <c r="AC130" s="497"/>
      <c r="AD130" s="48"/>
      <c r="AE130" s="48"/>
      <c r="AF130" s="49"/>
      <c r="AG130" s="50"/>
      <c r="AH130" s="161"/>
      <c r="AI130" s="162"/>
      <c r="AJ130" s="47"/>
      <c r="AK130" s="497"/>
      <c r="AL130" s="48"/>
      <c r="AM130" s="48"/>
      <c r="AN130" s="49"/>
      <c r="AO130" s="50"/>
      <c r="AP130" s="161"/>
      <c r="AQ130" s="162"/>
      <c r="AR130" s="47"/>
      <c r="AS130" s="497"/>
      <c r="AT130" s="48"/>
      <c r="AU130" s="48"/>
      <c r="AV130" s="49"/>
      <c r="AW130" s="403"/>
    </row>
    <row r="131" spans="1:49" s="3" customFormat="1" ht="18" customHeight="1" x14ac:dyDescent="0.15">
      <c r="A131" s="402"/>
      <c r="B131" s="161" t="str">
        <f>IF(C131="","",VLOOKUP(WEEKDAY(C131,2),TAB_SEMAINE,2,FALSE))</f>
        <v>Ve</v>
      </c>
      <c r="C131" s="162">
        <f>IF(C129="","",IF(MONTH(C129)&lt;&gt;MONTH(C129+1),"",C129+1))</f>
        <v>44407</v>
      </c>
      <c r="D131" s="47" t="str">
        <f t="shared" si="32"/>
        <v/>
      </c>
      <c r="E131" s="497" t="str">
        <f>IF(B131="","",IF(ISNA(VLOOKUP(C131,TAB_LUNE,2,FALSE)),"",VLOOKUP(C131,TAB_LUNE,2,FALSE)))</f>
        <v/>
      </c>
      <c r="F131" s="48" t="str">
        <f>IF(C131="","",IF(ISNA(VLOOKUP(C131,TAB_FERIES,3,FALSE)),"",VLOOKUP(C131,TAB_FERIES,3,FALSE)))</f>
        <v/>
      </c>
      <c r="G131" s="48">
        <f t="shared" si="55"/>
        <v>211</v>
      </c>
      <c r="H131" s="49" t="str">
        <f>IF(C131="","",IF(MOD(C131-2,7),"",INT((9+C131-MOD(C131-2,7)-DATE(YEAR(3+C131-MOD(C131-2,7)),1,))/7)))</f>
        <v/>
      </c>
      <c r="I131" s="50"/>
      <c r="J131" s="161" t="str">
        <f>IF(K131="","",VLOOKUP(WEEKDAY(K131,2),TAB_SEMAINE,2,FALSE))</f>
        <v>Lu</v>
      </c>
      <c r="K131" s="162">
        <f>IF(K129="","",IF(MONTH(K129)&lt;&gt;MONTH(K129+1),"",K129+1))</f>
        <v>44438</v>
      </c>
      <c r="L131" s="47" t="str">
        <f t="shared" si="36"/>
        <v/>
      </c>
      <c r="M131" s="497" t="str">
        <f>IF(J131="","",IF(ISNA(VLOOKUP(K131,TAB_LUNE,2,FALSE)),"",VLOOKUP(K131,TAB_LUNE,2,FALSE)))</f>
        <v>🌗</v>
      </c>
      <c r="N131" s="48" t="str">
        <f>IF(K131="","",IF(ISNA(VLOOKUP(K131,TAB_FERIES,3,FALSE)),"",VLOOKUP(K131,TAB_FERIES,3,FALSE)))</f>
        <v/>
      </c>
      <c r="O131" s="48">
        <f t="shared" si="56"/>
        <v>242</v>
      </c>
      <c r="P131" s="49">
        <f>IF(K131="","",IF(MOD(K131-2,7),"",INT((9+K131-MOD(K131-2,7)-DATE(YEAR(3+K131-MOD(K131-2,7)),1,))/7)))</f>
        <v>35</v>
      </c>
      <c r="Q131" s="50"/>
      <c r="R131" s="161" t="str">
        <f>IF(S131="","",VLOOKUP(WEEKDAY(S131,2),TAB_SEMAINE,2,FALSE))</f>
        <v>Je</v>
      </c>
      <c r="S131" s="162">
        <f>IF(S129="","",IF(MONTH(S129)&lt;&gt;MONTH(S129+1),"",S129+1))</f>
        <v>44469</v>
      </c>
      <c r="T131" s="47" t="str">
        <f t="shared" si="40"/>
        <v/>
      </c>
      <c r="U131" s="497" t="str">
        <f>IF(R131="","",IF(ISNA(VLOOKUP(S131,TAB_LUNE,2,FALSE)),"",VLOOKUP(S131,TAB_LUNE,2,FALSE)))</f>
        <v/>
      </c>
      <c r="V131" s="48" t="str">
        <f>IF(S131="","",IF(ISNA(VLOOKUP(S131,TAB_FERIES,3,FALSE)),"",VLOOKUP(S131,TAB_FERIES,3,FALSE)))</f>
        <v/>
      </c>
      <c r="W131" s="48">
        <f t="shared" si="57"/>
        <v>273</v>
      </c>
      <c r="X131" s="49" t="str">
        <f>IF(S131="","",IF(MOD(S131-2,7),"",INT((9+S131-MOD(S131-2,7)-DATE(YEAR(3+S131-MOD(S131-2,7)),1,))/7)))</f>
        <v/>
      </c>
      <c r="Y131" s="50"/>
      <c r="Z131" s="161" t="str">
        <f>IF(AA131="","",VLOOKUP(WEEKDAY(AA131,2),TAB_SEMAINE,2,FALSE))</f>
        <v>Sa</v>
      </c>
      <c r="AA131" s="162">
        <f>IF(AA129="","",IF(MONTH(AA129)&lt;&gt;MONTH(AA129+1),"",AA129+1))</f>
        <v>44499</v>
      </c>
      <c r="AB131" s="47" t="str">
        <f t="shared" si="44"/>
        <v/>
      </c>
      <c r="AC131" s="497" t="str">
        <f>IF(Z131="","",IF(ISNA(VLOOKUP(AA131,TAB_LUNE,2,FALSE)),"",VLOOKUP(AA131,TAB_LUNE,2,FALSE)))</f>
        <v/>
      </c>
      <c r="AD131" s="48" t="str">
        <f>IF(AA131="","",IF(ISNA(VLOOKUP(AA131,TAB_FERIES,3,FALSE)),"",VLOOKUP(AA131,TAB_FERIES,3,FALSE)))</f>
        <v/>
      </c>
      <c r="AE131" s="48">
        <f t="shared" si="58"/>
        <v>303</v>
      </c>
      <c r="AF131" s="49" t="str">
        <f>IF(AA131="","",IF(MOD(AA131-2,7),"",INT((9+AA131-MOD(AA131-2,7)-DATE(YEAR(3+AA131-MOD(AA131-2,7)),1,))/7)))</f>
        <v/>
      </c>
      <c r="AG131" s="50"/>
      <c r="AH131" s="161" t="str">
        <f>IF(AI131="","",VLOOKUP(WEEKDAY(AI131,2),TAB_SEMAINE,2,FALSE))</f>
        <v>Ma</v>
      </c>
      <c r="AI131" s="162">
        <f>IF(AI129="","",IF(MONTH(AI129)&lt;&gt;MONTH(AI129+1),"",AI129+1))</f>
        <v>44530</v>
      </c>
      <c r="AJ131" s="47" t="str">
        <f t="shared" si="48"/>
        <v/>
      </c>
      <c r="AK131" s="497" t="str">
        <f>IF(AH131="","",IF(ISNA(VLOOKUP(AI131,TAB_LUNE,2,FALSE)),"",VLOOKUP(AI131,TAB_LUNE,2,FALSE)))</f>
        <v/>
      </c>
      <c r="AL131" s="48" t="str">
        <f>IF(AI131="","",IF(ISNA(VLOOKUP(AI131,TAB_FERIES,3,FALSE)),"",VLOOKUP(AI131,TAB_FERIES,3,FALSE)))</f>
        <v/>
      </c>
      <c r="AM131" s="48">
        <f t="shared" si="59"/>
        <v>334</v>
      </c>
      <c r="AN131" s="49" t="str">
        <f>IF(AI131="","",IF(MOD(AI131-2,7),"",INT((9+AI131-MOD(AI131-2,7)-DATE(YEAR(3+AI131-MOD(AI131-2,7)),1,))/7)))</f>
        <v/>
      </c>
      <c r="AO131" s="50"/>
      <c r="AP131" s="161" t="str">
        <f>IF(AQ131="","",VLOOKUP(WEEKDAY(AQ131,2),TAB_SEMAINE,2,FALSE))</f>
        <v>Je</v>
      </c>
      <c r="AQ131" s="162">
        <f>IF(AQ129="","",IF(MONTH(AQ129)&lt;&gt;MONTH(AQ129+1),"",AQ129+1))</f>
        <v>44560</v>
      </c>
      <c r="AR131" s="47" t="str">
        <f t="shared" si="52"/>
        <v/>
      </c>
      <c r="AS131" s="497" t="str">
        <f>IF(AP131="","",IF(ISNA(VLOOKUP(AQ131,TAB_LUNE,2,FALSE)),"",VLOOKUP(AQ131,TAB_LUNE,2,FALSE)))</f>
        <v/>
      </c>
      <c r="AT131" s="48" t="str">
        <f>IF(AQ131="","",IF(ISNA(VLOOKUP(AQ131,TAB_FERIES,3,FALSE)),"",VLOOKUP(AQ131,TAB_FERIES,3,FALSE)))</f>
        <v/>
      </c>
      <c r="AU131" s="48">
        <f t="shared" si="60"/>
        <v>364</v>
      </c>
      <c r="AV131" s="49" t="str">
        <f t="shared" si="61"/>
        <v/>
      </c>
      <c r="AW131" s="403"/>
    </row>
    <row r="132" spans="1:49" s="3" customFormat="1" ht="4" customHeight="1" x14ac:dyDescent="0.15">
      <c r="A132" s="402"/>
      <c r="B132" s="161"/>
      <c r="C132" s="162"/>
      <c r="D132" s="47"/>
      <c r="E132" s="497"/>
      <c r="F132" s="48"/>
      <c r="G132" s="48"/>
      <c r="H132" s="49"/>
      <c r="I132" s="50"/>
      <c r="J132" s="161"/>
      <c r="K132" s="162"/>
      <c r="L132" s="47"/>
      <c r="M132" s="497"/>
      <c r="N132" s="48"/>
      <c r="O132" s="48"/>
      <c r="P132" s="49"/>
      <c r="Q132" s="50"/>
      <c r="R132" s="161"/>
      <c r="S132" s="162"/>
      <c r="T132" s="47"/>
      <c r="U132" s="497"/>
      <c r="V132" s="48"/>
      <c r="W132" s="48"/>
      <c r="X132" s="49"/>
      <c r="Y132" s="50"/>
      <c r="Z132" s="161"/>
      <c r="AA132" s="162"/>
      <c r="AB132" s="47"/>
      <c r="AC132" s="497"/>
      <c r="AD132" s="48"/>
      <c r="AE132" s="48"/>
      <c r="AF132" s="49"/>
      <c r="AG132" s="50"/>
      <c r="AH132" s="161"/>
      <c r="AI132" s="162"/>
      <c r="AJ132" s="47"/>
      <c r="AK132" s="497"/>
      <c r="AL132" s="48"/>
      <c r="AM132" s="48"/>
      <c r="AN132" s="49"/>
      <c r="AO132" s="50"/>
      <c r="AP132" s="161"/>
      <c r="AQ132" s="162"/>
      <c r="AR132" s="47"/>
      <c r="AS132" s="497"/>
      <c r="AT132" s="48"/>
      <c r="AU132" s="48"/>
      <c r="AV132" s="49"/>
      <c r="AW132" s="403"/>
    </row>
    <row r="133" spans="1:49" s="3" customFormat="1" ht="18" customHeight="1" x14ac:dyDescent="0.15">
      <c r="A133" s="402"/>
      <c r="B133" s="161" t="str">
        <f>IF(C133="","",VLOOKUP(WEEKDAY(C133,2),TAB_SEMAINE,2,FALSE))</f>
        <v>Sa</v>
      </c>
      <c r="C133" s="162">
        <f>IF(C131="","",IF(MONTH(C131)&lt;&gt;MONTH(C131+1),"",C131+1))</f>
        <v>44408</v>
      </c>
      <c r="D133" s="47" t="str">
        <f t="shared" si="32"/>
        <v/>
      </c>
      <c r="E133" s="497" t="str">
        <f>IF(B133="","",IF(ISNA(VLOOKUP(C133,TAB_LUNE,2,FALSE)),"",VLOOKUP(C133,TAB_LUNE,2,FALSE)))</f>
        <v>🌗</v>
      </c>
      <c r="F133" s="48" t="str">
        <f>IF(C133="","",IF(ISNA(VLOOKUP(C133,TAB_FERIES,3,FALSE)),"",VLOOKUP(C133,TAB_FERIES,3,FALSE)))</f>
        <v/>
      </c>
      <c r="G133" s="48">
        <f t="shared" si="55"/>
        <v>212</v>
      </c>
      <c r="H133" s="49" t="str">
        <f>IF(C133="","",IF(MOD(C133-2,7),"",INT((9+C133-MOD(C133-2,7)-DATE(YEAR(3+C133-MOD(C133-2,7)),1,))/7)))</f>
        <v/>
      </c>
      <c r="I133" s="50"/>
      <c r="J133" s="161" t="str">
        <f>IF(K133="","",VLOOKUP(WEEKDAY(K133,2),TAB_SEMAINE,2,FALSE))</f>
        <v>Ma</v>
      </c>
      <c r="K133" s="162">
        <f>IF(K131="","",IF(MONTH(K131)&lt;&gt;MONTH(K131+1),"",K131+1))</f>
        <v>44439</v>
      </c>
      <c r="L133" s="47" t="str">
        <f t="shared" si="36"/>
        <v/>
      </c>
      <c r="M133" s="497" t="str">
        <f>IF(J133="","",IF(ISNA(VLOOKUP(K133,TAB_LUNE,2,FALSE)),"",VLOOKUP(K133,TAB_LUNE,2,FALSE)))</f>
        <v/>
      </c>
      <c r="N133" s="48" t="str">
        <f>IF(K133="","",IF(ISNA(VLOOKUP(K133,TAB_FERIES,3,FALSE)),"",VLOOKUP(K133,TAB_FERIES,3,FALSE)))</f>
        <v/>
      </c>
      <c r="O133" s="48">
        <f t="shared" si="56"/>
        <v>243</v>
      </c>
      <c r="P133" s="49" t="str">
        <f>IF(K133="","",IF(MOD(K133-2,7),"",INT((9+K133-MOD(K133-2,7)-DATE(YEAR(3+K133-MOD(K133-2,7)),1,))/7)))</f>
        <v/>
      </c>
      <c r="Q133" s="50"/>
      <c r="R133" s="161" t="str">
        <f>IF(S133="","",VLOOKUP(WEEKDAY(S133,2),TAB_SEMAINE,2,FALSE))</f>
        <v/>
      </c>
      <c r="S133" s="162" t="str">
        <f>IF(S131="","",IF(MONTH(S131)&lt;&gt;MONTH(S131+1),"",S131+1))</f>
        <v/>
      </c>
      <c r="T133" s="47" t="str">
        <f t="shared" si="40"/>
        <v/>
      </c>
      <c r="U133" s="497" t="str">
        <f>IF(R133="","",IF(ISNA(VLOOKUP(S133,TAB_LUNE,2,FALSE)),"",VLOOKUP(S133,TAB_LUNE,2,FALSE)))</f>
        <v/>
      </c>
      <c r="V133" s="48"/>
      <c r="W133" s="48" t="str">
        <f t="shared" si="57"/>
        <v/>
      </c>
      <c r="X133" s="49" t="str">
        <f>IF(S133="","",IF(MOD(S133-2,7),"",INT((9+S133-MOD(S133-2,7)-DATE(YEAR(3+S133-MOD(S133-2,7)),1,))/7)))</f>
        <v/>
      </c>
      <c r="Y133" s="50"/>
      <c r="Z133" s="161" t="str">
        <f>IF(AA133="","",VLOOKUP(WEEKDAY(AA133,2),TAB_SEMAINE,2,FALSE))</f>
        <v>Di</v>
      </c>
      <c r="AA133" s="162">
        <f>IF(AA131="","",IF(MONTH(AA131)&lt;&gt;MONTH(AA131+1),"",AA131+1))</f>
        <v>44500</v>
      </c>
      <c r="AB133" s="47" t="str">
        <f t="shared" si="44"/>
        <v>F</v>
      </c>
      <c r="AC133" s="497" t="str">
        <f>IF(Z133="","",IF(ISNA(VLOOKUP(AA133,TAB_LUNE,2,FALSE)),"",VLOOKUP(AA133,TAB_LUNE,2,FALSE)))</f>
        <v/>
      </c>
      <c r="AD133" s="48" t="str">
        <f>IF(AA133="","",IF(ISNA(VLOOKUP(AA133,TAB_FERIES,3,FALSE)),"",VLOOKUP(AA133,TAB_FERIES,3,FALSE)))</f>
        <v>Heure d'hiver (-1)</v>
      </c>
      <c r="AE133" s="48">
        <f t="shared" si="58"/>
        <v>304</v>
      </c>
      <c r="AF133" s="49" t="str">
        <f>IF(AA133="","",IF(MOD(AA133-2,7),"",INT((9+AA133-MOD(AA133-2,7)-DATE(YEAR(3+AA133-MOD(AA133-2,7)),1,))/7)))</f>
        <v/>
      </c>
      <c r="AG133" s="50"/>
      <c r="AH133" s="161" t="str">
        <f>IF(AI133="","",VLOOKUP(WEEKDAY(AI133,2),TAB_SEMAINE,2,FALSE))</f>
        <v/>
      </c>
      <c r="AI133" s="162" t="str">
        <f>IF(AI131="","",IF(MONTH(AI131)&lt;&gt;MONTH(AI131+1),"",AI131+1))</f>
        <v/>
      </c>
      <c r="AJ133" s="47" t="str">
        <f>IF(ISNA(VLOOKUP(AI133,TAB_FERIES,4,FALSE)),"",VLOOKUP(AI133,TAB_FERIES,4,FALSE))</f>
        <v/>
      </c>
      <c r="AK133" s="497" t="str">
        <f>IF(AH133="","",IF(ISNA(VLOOKUP(AI133,TAB_LUNE,2,FALSE)),"",VLOOKUP(AI133,TAB_LUNE,2,FALSE)))</f>
        <v/>
      </c>
      <c r="AL133" s="48" t="str">
        <f>IF(AI133="","",IF(ISNA(VLOOKUP(AI133,TAB_FERIES,3,FALSE)),"",VLOOKUP(AI133,TAB_FERIES,3,FALSE)))</f>
        <v/>
      </c>
      <c r="AM133" s="48" t="str">
        <f>IF(AH133="","",AI133-DATE(YEAR(AI133),1,0))</f>
        <v/>
      </c>
      <c r="AN133" s="49" t="str">
        <f>IF(AI133="","",IF(MOD(AI133-2,7),"",INT((9+AI133-MOD(AI133-2,7)-DATE(YEAR(3+AI133-MOD(AI133-2,7)),1,))/7)))</f>
        <v/>
      </c>
      <c r="AO133" s="50"/>
      <c r="AP133" s="161" t="str">
        <f>IF(AQ133="","",VLOOKUP(WEEKDAY(AQ133,2),TAB_SEMAINE,2,FALSE))</f>
        <v>Ve</v>
      </c>
      <c r="AQ133" s="162">
        <f>IF(AQ131="","",IF(MONTH(AQ131)&lt;&gt;MONTH(AQ131+1),"",AQ131+1))</f>
        <v>44561</v>
      </c>
      <c r="AR133" s="47" t="str">
        <f t="shared" si="52"/>
        <v/>
      </c>
      <c r="AS133" s="497" t="str">
        <f>IF(AP133="","",IF(ISNA(VLOOKUP(AQ133,TAB_LUNE,2,FALSE)),"",VLOOKUP(AQ133,TAB_LUNE,2,FALSE)))</f>
        <v/>
      </c>
      <c r="AT133" s="48" t="str">
        <f>IF(AQ133="","",IF(ISNA(VLOOKUP(AQ133,TAB_FERIES,3,FALSE)),"",VLOOKUP(AQ133,TAB_FERIES,3,FALSE)))</f>
        <v/>
      </c>
      <c r="AU133" s="48">
        <f t="shared" si="60"/>
        <v>365</v>
      </c>
      <c r="AV133" s="49" t="str">
        <f t="shared" si="61"/>
        <v/>
      </c>
      <c r="AW133" s="403"/>
    </row>
    <row r="134" spans="1:49" s="3" customFormat="1" ht="4" customHeight="1" x14ac:dyDescent="0.15">
      <c r="A134" s="402"/>
      <c r="B134" s="45"/>
      <c r="C134" s="46"/>
      <c r="D134" s="47"/>
      <c r="E134" s="497"/>
      <c r="F134" s="48"/>
      <c r="G134" s="48"/>
      <c r="H134" s="51"/>
      <c r="I134" s="50"/>
      <c r="J134" s="45"/>
      <c r="K134" s="46"/>
      <c r="L134" s="47"/>
      <c r="M134" s="497"/>
      <c r="N134" s="48"/>
      <c r="O134" s="48"/>
      <c r="P134" s="51"/>
      <c r="Q134" s="50"/>
      <c r="R134" s="45"/>
      <c r="S134" s="46"/>
      <c r="T134" s="47"/>
      <c r="U134" s="497"/>
      <c r="V134" s="48"/>
      <c r="W134" s="48"/>
      <c r="X134" s="51"/>
      <c r="Y134" s="50"/>
      <c r="Z134" s="45"/>
      <c r="AA134" s="46"/>
      <c r="AB134" s="47"/>
      <c r="AC134" s="497"/>
      <c r="AD134" s="48"/>
      <c r="AE134" s="48"/>
      <c r="AF134" s="51"/>
      <c r="AG134" s="50"/>
      <c r="AH134" s="45"/>
      <c r="AI134" s="46"/>
      <c r="AJ134" s="47"/>
      <c r="AK134" s="497"/>
      <c r="AL134" s="48"/>
      <c r="AM134" s="48"/>
      <c r="AN134" s="51"/>
      <c r="AO134" s="50"/>
      <c r="AP134" s="45"/>
      <c r="AQ134" s="46"/>
      <c r="AR134" s="47"/>
      <c r="AS134" s="497"/>
      <c r="AT134" s="48"/>
      <c r="AU134" s="48"/>
      <c r="AV134" s="51"/>
      <c r="AW134" s="403"/>
    </row>
    <row r="135" spans="1:49" s="31" customFormat="1" ht="13" x14ac:dyDescent="0.15">
      <c r="A135" s="404"/>
      <c r="B135" s="52"/>
      <c r="C135" s="53"/>
      <c r="D135" s="53"/>
      <c r="E135" s="498"/>
      <c r="F135" s="54"/>
      <c r="G135" s="54"/>
      <c r="H135" s="55" t="str">
        <f>CONCATENATE(NETWORKDAYS.INTL(C73,MAX(C127:C133),,Ref_non_ouvrables)," jours ouvrables")</f>
        <v>21 jours ouvrables</v>
      </c>
      <c r="I135" s="52"/>
      <c r="J135" s="52"/>
      <c r="K135" s="53"/>
      <c r="L135" s="53"/>
      <c r="M135" s="498"/>
      <c r="N135" s="54"/>
      <c r="O135" s="54"/>
      <c r="P135" s="55" t="str">
        <f>CONCATENATE(NETWORKDAYS.INTL(K73,MAX(K127:K133),,Ref_non_ouvrables)," jours ouvrables")</f>
        <v>22 jours ouvrables</v>
      </c>
      <c r="Q135" s="52"/>
      <c r="R135" s="52"/>
      <c r="S135" s="53"/>
      <c r="T135" s="53"/>
      <c r="U135" s="498"/>
      <c r="V135" s="54"/>
      <c r="W135" s="54"/>
      <c r="X135" s="55" t="str">
        <f>CONCATENATE(NETWORKDAYS.INTL(S73,MAX(S127:S133),,Ref_non_ouvrables)," jours ouvrables")</f>
        <v>22 jours ouvrables</v>
      </c>
      <c r="Y135" s="52"/>
      <c r="Z135" s="52"/>
      <c r="AA135" s="53"/>
      <c r="AB135" s="53"/>
      <c r="AC135" s="498"/>
      <c r="AD135" s="54"/>
      <c r="AE135" s="54"/>
      <c r="AF135" s="55" t="str">
        <f>CONCATENATE(NETWORKDAYS.INTL(AA73,MAX(AA127:AA133),,Ref_non_ouvrables)," jours ouvrables")</f>
        <v>21 jours ouvrables</v>
      </c>
      <c r="AG135" s="52"/>
      <c r="AH135" s="52"/>
      <c r="AI135" s="53"/>
      <c r="AJ135" s="53"/>
      <c r="AK135" s="498"/>
      <c r="AL135" s="54"/>
      <c r="AM135" s="54"/>
      <c r="AN135" s="55" t="str">
        <f>CONCATENATE(NETWORKDAYS.INTL(AI73,MAX(AI127:AI133),,Ref_non_ouvrables)," jours ouvrables")</f>
        <v>20 jours ouvrables</v>
      </c>
      <c r="AO135" s="52"/>
      <c r="AP135" s="52"/>
      <c r="AQ135" s="53"/>
      <c r="AR135" s="53"/>
      <c r="AS135" s="498"/>
      <c r="AT135" s="54"/>
      <c r="AU135" s="54"/>
      <c r="AV135" s="55" t="str">
        <f>CONCATENATE(NETWORKDAYS.INTL(AQ73,MAX(AQ127:AQ133),,Ref_non_ouvrables)," jours ouvrables")</f>
        <v>23 jours ouvrables</v>
      </c>
      <c r="AW135" s="405"/>
    </row>
    <row r="136" spans="1:49" x14ac:dyDescent="0.2">
      <c r="A136" s="135"/>
      <c r="B136" s="406"/>
      <c r="C136" s="406"/>
      <c r="D136" s="407"/>
      <c r="E136" s="500"/>
      <c r="F136" s="408"/>
      <c r="G136" s="409"/>
      <c r="H136" s="410"/>
      <c r="I136" s="137"/>
      <c r="J136" s="406"/>
      <c r="K136" s="406"/>
      <c r="L136" s="407"/>
      <c r="M136" s="500"/>
      <c r="N136" s="408"/>
      <c r="O136" s="409"/>
      <c r="P136" s="410"/>
      <c r="Q136" s="137"/>
      <c r="R136" s="406"/>
      <c r="S136" s="406"/>
      <c r="T136" s="407"/>
      <c r="U136" s="500"/>
      <c r="V136" s="408"/>
      <c r="W136" s="409"/>
      <c r="X136" s="410"/>
      <c r="Y136" s="137"/>
      <c r="Z136" s="406"/>
      <c r="AA136" s="406"/>
      <c r="AB136" s="407"/>
      <c r="AC136" s="500"/>
      <c r="AD136" s="408"/>
      <c r="AE136" s="409"/>
      <c r="AF136" s="410"/>
      <c r="AG136" s="137"/>
      <c r="AH136" s="406"/>
      <c r="AI136" s="406"/>
      <c r="AJ136" s="407"/>
      <c r="AK136" s="500"/>
      <c r="AL136" s="408"/>
      <c r="AM136" s="409"/>
      <c r="AN136" s="410"/>
      <c r="AO136" s="137"/>
      <c r="AP136" s="406"/>
      <c r="AQ136" s="406"/>
      <c r="AR136" s="407"/>
      <c r="AS136" s="500"/>
      <c r="AT136" s="408"/>
      <c r="AU136" s="409"/>
      <c r="AV136" s="410"/>
      <c r="AW136" s="131"/>
    </row>
  </sheetData>
  <sheetProtection sheet="1" objects="1" scenarios="1"/>
  <mergeCells count="14">
    <mergeCell ref="B2:X2"/>
    <mergeCell ref="Z2:AU2"/>
    <mergeCell ref="AP71:AT71"/>
    <mergeCell ref="B4:F4"/>
    <mergeCell ref="J4:N4"/>
    <mergeCell ref="R4:V4"/>
    <mergeCell ref="Z4:AD4"/>
    <mergeCell ref="AH4:AL4"/>
    <mergeCell ref="AP4:AT4"/>
    <mergeCell ref="B71:F71"/>
    <mergeCell ref="J71:N71"/>
    <mergeCell ref="R71:V71"/>
    <mergeCell ref="Z71:AD71"/>
    <mergeCell ref="AH71:AL71"/>
  </mergeCells>
  <phoneticPr fontId="7" type="noConversion"/>
  <conditionalFormatting sqref="AV69:AV70">
    <cfRule type="expression" dxfId="4639" priority="801">
      <formula>OR(AP69="Sa",AP69="Di",AR69="F")</formula>
    </cfRule>
    <cfRule type="expression" dxfId="4638" priority="802">
      <formula>AP69&lt;&gt;""</formula>
    </cfRule>
  </conditionalFormatting>
  <conditionalFormatting sqref="J70 R70 Z70 AH70 AP70">
    <cfRule type="expression" dxfId="4637" priority="799" stopIfTrue="1">
      <formula>OR(J70="Sa",J70="Di",L70="F")</formula>
    </cfRule>
    <cfRule type="expression" dxfId="4636" priority="800" stopIfTrue="1">
      <formula>J70&lt;&gt;""</formula>
    </cfRule>
  </conditionalFormatting>
  <conditionalFormatting sqref="AD70:AE70 AL70:AM70 AT70:AU70 V69:W70 F134 N134 V134 AD134 AT134 AL134">
    <cfRule type="expression" dxfId="4635" priority="797">
      <formula>OR(B69="Sa",B69="Di",D69="F")</formula>
    </cfRule>
    <cfRule type="expression" dxfId="4634" priority="798">
      <formula>B69&lt;&gt;""</formula>
    </cfRule>
  </conditionalFormatting>
  <conditionalFormatting sqref="AD69:AE69">
    <cfRule type="expression" dxfId="4633" priority="795">
      <formula>OR(Z69="Sa",Z69="Di",AB69="F")</formula>
    </cfRule>
    <cfRule type="expression" dxfId="4632" priority="796">
      <formula>Z69&lt;&gt;""</formula>
    </cfRule>
  </conditionalFormatting>
  <conditionalFormatting sqref="AL69:AM69">
    <cfRule type="expression" dxfId="4631" priority="793">
      <formula>OR(AH69="Sa",AH69="Di",AJ69="F")</formula>
    </cfRule>
    <cfRule type="expression" dxfId="4630" priority="794">
      <formula>AH69&lt;&gt;""</formula>
    </cfRule>
  </conditionalFormatting>
  <conditionalFormatting sqref="AT69:AU69">
    <cfRule type="expression" dxfId="4629" priority="791">
      <formula>OR(AP69="Sa",AP69="Di",AR69="F")</formula>
    </cfRule>
    <cfRule type="expression" dxfId="4628" priority="792">
      <formula>AP69&lt;&gt;""</formula>
    </cfRule>
  </conditionalFormatting>
  <conditionalFormatting sqref="N69:O70">
    <cfRule type="expression" dxfId="4627" priority="789">
      <formula>OR(J69="Sa",J69="Di",L69="F")</formula>
    </cfRule>
    <cfRule type="expression" dxfId="4626" priority="790">
      <formula>J69&lt;&gt;""</formula>
    </cfRule>
  </conditionalFormatting>
  <conditionalFormatting sqref="AN69:AN70 AF69:AF70 X69:X70 P69:P70 H69:H70 H6:H67 H134 P134 X134 AF134 AV134 AN134">
    <cfRule type="expression" dxfId="4625" priority="785">
      <formula>OR(B6="Sa",B6="Di",D6="F")</formula>
    </cfRule>
    <cfRule type="expression" dxfId="4624" priority="786">
      <formula>B6&lt;&gt;""</formula>
    </cfRule>
  </conditionalFormatting>
  <conditionalFormatting sqref="J69">
    <cfRule type="expression" dxfId="4623" priority="773" stopIfTrue="1">
      <formula>OR(J69="Sa",J69="Di",L69="F")</formula>
    </cfRule>
    <cfRule type="expression" dxfId="4622" priority="774" stopIfTrue="1">
      <formula>J69&lt;&gt;""</formula>
    </cfRule>
  </conditionalFormatting>
  <conditionalFormatting sqref="R69">
    <cfRule type="expression" dxfId="4621" priority="771" stopIfTrue="1">
      <formula>OR(R69="Sa",R69="Di",T69="F")</formula>
    </cfRule>
    <cfRule type="expression" dxfId="4620" priority="772" stopIfTrue="1">
      <formula>R69&lt;&gt;""</formula>
    </cfRule>
  </conditionalFormatting>
  <conditionalFormatting sqref="Z69">
    <cfRule type="expression" dxfId="4619" priority="769" stopIfTrue="1">
      <formula>OR(Z69="Sa",Z69="Di",AB69="F")</formula>
    </cfRule>
    <cfRule type="expression" dxfId="4618" priority="770" stopIfTrue="1">
      <formula>Z69&lt;&gt;""</formula>
    </cfRule>
  </conditionalFormatting>
  <conditionalFormatting sqref="AH69">
    <cfRule type="expression" dxfId="4617" priority="767" stopIfTrue="1">
      <formula>OR(AH69="Sa",AH69="Di",AJ69="F")</formula>
    </cfRule>
    <cfRule type="expression" dxfId="4616" priority="768" stopIfTrue="1">
      <formula>AH69&lt;&gt;""</formula>
    </cfRule>
  </conditionalFormatting>
  <conditionalFormatting sqref="AP69">
    <cfRule type="expression" dxfId="4615" priority="765" stopIfTrue="1">
      <formula>OR(AP69="Sa",AP69="Di",AR69="F")</formula>
    </cfRule>
    <cfRule type="expression" dxfId="4614" priority="766" stopIfTrue="1">
      <formula>AP69&lt;&gt;""</formula>
    </cfRule>
  </conditionalFormatting>
  <conditionalFormatting sqref="E6:E68 E134 M134 U134 AC134 AS134 AK134">
    <cfRule type="expression" dxfId="4613" priority="751">
      <formula>OR(B6="Sa",B6="Di",D6="F")</formula>
    </cfRule>
    <cfRule type="expression" dxfId="4612" priority="752">
      <formula>B6&lt;&gt;""</formula>
    </cfRule>
  </conditionalFormatting>
  <conditionalFormatting sqref="M68">
    <cfRule type="expression" dxfId="4611" priority="749">
      <formula>OR(J68="Sa",J68="Di",L68="F")</formula>
    </cfRule>
    <cfRule type="expression" dxfId="4610" priority="750">
      <formula>J68&lt;&gt;""</formula>
    </cfRule>
  </conditionalFormatting>
  <conditionalFormatting sqref="U68">
    <cfRule type="expression" dxfId="4609" priority="747">
      <formula>OR(R68="Sa",R68="Di",T68="F")</formula>
    </cfRule>
    <cfRule type="expression" dxfId="4608" priority="748">
      <formula>R68&lt;&gt;""</formula>
    </cfRule>
  </conditionalFormatting>
  <conditionalFormatting sqref="AC68">
    <cfRule type="expression" dxfId="4607" priority="745">
      <formula>OR(Z68="Sa",Z68="Di",AB68="F")</formula>
    </cfRule>
    <cfRule type="expression" dxfId="4606" priority="746">
      <formula>Z68&lt;&gt;""</formula>
    </cfRule>
  </conditionalFormatting>
  <conditionalFormatting sqref="AK68">
    <cfRule type="expression" dxfId="4605" priority="743">
      <formula>OR(AH68="Sa",AH68="Di",AJ68="F")</formula>
    </cfRule>
    <cfRule type="expression" dxfId="4604" priority="744">
      <formula>AH68&lt;&gt;""</formula>
    </cfRule>
  </conditionalFormatting>
  <conditionalFormatting sqref="AS68">
    <cfRule type="expression" dxfId="4603" priority="741">
      <formula>OR(AP68="Sa",AP68="Di",AR68="F")</formula>
    </cfRule>
    <cfRule type="expression" dxfId="4602" priority="742">
      <formula>AP68&lt;&gt;""</formula>
    </cfRule>
  </conditionalFormatting>
  <conditionalFormatting sqref="B6:B67">
    <cfRule type="expression" dxfId="4601" priority="728" stopIfTrue="1">
      <formula>OR(B6="Sa",B6="Di",D6="F")</formula>
    </cfRule>
    <cfRule type="expression" dxfId="4600" priority="808" stopIfTrue="1">
      <formula>B6&lt;&gt;""</formula>
    </cfRule>
  </conditionalFormatting>
  <conditionalFormatting sqref="H66:H67">
    <cfRule type="expression" dxfId="4599" priority="726">
      <formula>OR(B66="Sa",B66="Di",D66="F")</formula>
    </cfRule>
    <cfRule type="expression" dxfId="4598" priority="727">
      <formula>B66&lt;&gt;""</formula>
    </cfRule>
  </conditionalFormatting>
  <conditionalFormatting sqref="K67">
    <cfRule type="expression" dxfId="4597" priority="716">
      <formula>OR(J67="Sa",J67="Di",L67="F")</formula>
    </cfRule>
    <cfRule type="expression" dxfId="4596" priority="717">
      <formula>J67&lt;&gt;""</formula>
    </cfRule>
  </conditionalFormatting>
  <conditionalFormatting sqref="P67">
    <cfRule type="expression" dxfId="4595" priority="714">
      <formula>OR(J67="Sa",J67="Di",L67="F")</formula>
    </cfRule>
    <cfRule type="expression" dxfId="4594" priority="715">
      <formula>J67&lt;&gt;""</formula>
    </cfRule>
  </conditionalFormatting>
  <conditionalFormatting sqref="N67:O67">
    <cfRule type="expression" dxfId="4593" priority="718">
      <formula>OR(J67="Sa",J67="Di",L67="F")</formula>
    </cfRule>
    <cfRule type="expression" dxfId="4592" priority="720">
      <formula>J67&lt;&gt;""</formula>
    </cfRule>
  </conditionalFormatting>
  <conditionalFormatting sqref="M67">
    <cfRule type="expression" dxfId="4591" priority="710">
      <formula>OR(J67="Sa",J67="Di",L67="F")</formula>
    </cfRule>
    <cfRule type="expression" dxfId="4590" priority="711">
      <formula>J67&lt;&gt;""</formula>
    </cfRule>
  </conditionalFormatting>
  <conditionalFormatting sqref="J67 B134 J134 R134 Z134 AH134 AP134">
    <cfRule type="expression" dxfId="4589" priority="709" stopIfTrue="1">
      <formula>OR(B67="Sa",B67="Di",D67="F")</formula>
    </cfRule>
    <cfRule type="expression" dxfId="4588" priority="719" stopIfTrue="1">
      <formula>F67&lt;&gt;""</formula>
    </cfRule>
    <cfRule type="expression" dxfId="4587" priority="721" stopIfTrue="1">
      <formula>B67&lt;&gt;""</formula>
    </cfRule>
  </conditionalFormatting>
  <conditionalFormatting sqref="N67:O67">
    <cfRule type="expression" dxfId="4586" priority="705">
      <formula>OR(J67="Sa",J67="Di",L67="F")</formula>
    </cfRule>
    <cfRule type="expression" dxfId="4585" priority="706">
      <formula>J67&lt;&gt;""</formula>
    </cfRule>
  </conditionalFormatting>
  <conditionalFormatting sqref="P67">
    <cfRule type="expression" dxfId="4584" priority="707">
      <formula>OR(J67="Sa",J67="Di",L67="F")</formula>
    </cfRule>
    <cfRule type="expression" dxfId="4583" priority="708">
      <formula>J67&lt;&gt;""</formula>
    </cfRule>
  </conditionalFormatting>
  <conditionalFormatting sqref="S67">
    <cfRule type="expression" dxfId="4582" priority="697">
      <formula>OR(R67="Sa",R67="Di",T67="F")</formula>
    </cfRule>
    <cfRule type="expression" dxfId="4581" priority="698">
      <formula>R67&lt;&gt;""</formula>
    </cfRule>
  </conditionalFormatting>
  <conditionalFormatting sqref="X67">
    <cfRule type="expression" dxfId="4580" priority="695">
      <formula>OR(R67="Sa",R67="Di",T67="F")</formula>
    </cfRule>
    <cfRule type="expression" dxfId="4579" priority="696">
      <formula>R67&lt;&gt;""</formula>
    </cfRule>
  </conditionalFormatting>
  <conditionalFormatting sqref="V67:W67">
    <cfRule type="expression" dxfId="4578" priority="699">
      <formula>OR(R67="Sa",R67="Di",T67="F")</formula>
    </cfRule>
    <cfRule type="expression" dxfId="4577" priority="701">
      <formula>R67&lt;&gt;""</formula>
    </cfRule>
  </conditionalFormatting>
  <conditionalFormatting sqref="U67">
    <cfRule type="expression" dxfId="4576" priority="691">
      <formula>OR(R67="Sa",R67="Di",T67="F")</formula>
    </cfRule>
    <cfRule type="expression" dxfId="4575" priority="692">
      <formula>R67&lt;&gt;""</formula>
    </cfRule>
  </conditionalFormatting>
  <conditionalFormatting sqref="R67">
    <cfRule type="expression" dxfId="4574" priority="690" stopIfTrue="1">
      <formula>OR(R67="Sa",R67="Di",T67="F")</formula>
    </cfRule>
    <cfRule type="expression" dxfId="4573" priority="700" stopIfTrue="1">
      <formula>V67&lt;&gt;""</formula>
    </cfRule>
    <cfRule type="expression" dxfId="4572" priority="702" stopIfTrue="1">
      <formula>R67&lt;&gt;""</formula>
    </cfRule>
  </conditionalFormatting>
  <conditionalFormatting sqref="V67:W67">
    <cfRule type="expression" dxfId="4571" priority="686">
      <formula>OR(R67="Sa",R67="Di",T67="F")</formula>
    </cfRule>
    <cfRule type="expression" dxfId="4570" priority="687">
      <formula>R67&lt;&gt;""</formula>
    </cfRule>
  </conditionalFormatting>
  <conditionalFormatting sqref="X67">
    <cfRule type="expression" dxfId="4569" priority="688">
      <formula>OR(R67="Sa",R67="Di",T67="F")</formula>
    </cfRule>
    <cfRule type="expression" dxfId="4568" priority="689">
      <formula>R67&lt;&gt;""</formula>
    </cfRule>
  </conditionalFormatting>
  <conditionalFormatting sqref="AA67">
    <cfRule type="expression" dxfId="4567" priority="678">
      <formula>OR(Z67="Sa",Z67="Di",AB67="F")</formula>
    </cfRule>
    <cfRule type="expression" dxfId="4566" priority="679">
      <formula>Z67&lt;&gt;""</formula>
    </cfRule>
  </conditionalFormatting>
  <conditionalFormatting sqref="AF67">
    <cfRule type="expression" dxfId="4565" priority="676">
      <formula>OR(Z67="Sa",Z67="Di",AB67="F")</formula>
    </cfRule>
    <cfRule type="expression" dxfId="4564" priority="677">
      <formula>Z67&lt;&gt;""</formula>
    </cfRule>
  </conditionalFormatting>
  <conditionalFormatting sqref="AD67:AE67">
    <cfRule type="expression" dxfId="4563" priority="680">
      <formula>OR(Z67="Sa",Z67="Di",AB67="F")</formula>
    </cfRule>
    <cfRule type="expression" dxfId="4562" priority="682">
      <formula>Z67&lt;&gt;""</formula>
    </cfRule>
  </conditionalFormatting>
  <conditionalFormatting sqref="AC67">
    <cfRule type="expression" dxfId="4561" priority="672">
      <formula>OR(Z67="Sa",Z67="Di",AB67="F")</formula>
    </cfRule>
    <cfRule type="expression" dxfId="4560" priority="673">
      <formula>Z67&lt;&gt;""</formula>
    </cfRule>
  </conditionalFormatting>
  <conditionalFormatting sqref="Z67">
    <cfRule type="expression" dxfId="4559" priority="671" stopIfTrue="1">
      <formula>OR(Z67="Sa",Z67="Di",AB67="F")</formula>
    </cfRule>
    <cfRule type="expression" dxfId="4558" priority="681" stopIfTrue="1">
      <formula>AD67&lt;&gt;""</formula>
    </cfRule>
    <cfRule type="expression" dxfId="4557" priority="683" stopIfTrue="1">
      <formula>Z67&lt;&gt;""</formula>
    </cfRule>
  </conditionalFormatting>
  <conditionalFormatting sqref="AD67:AE67">
    <cfRule type="expression" dxfId="4556" priority="667">
      <formula>OR(Z67="Sa",Z67="Di",AB67="F")</formula>
    </cfRule>
    <cfRule type="expression" dxfId="4555" priority="668">
      <formula>Z67&lt;&gt;""</formula>
    </cfRule>
  </conditionalFormatting>
  <conditionalFormatting sqref="AF67">
    <cfRule type="expression" dxfId="4554" priority="669">
      <formula>OR(Z67="Sa",Z67="Di",AB67="F")</formula>
    </cfRule>
    <cfRule type="expression" dxfId="4553" priority="670">
      <formula>Z67&lt;&gt;""</formula>
    </cfRule>
  </conditionalFormatting>
  <conditionalFormatting sqref="AI67">
    <cfRule type="expression" dxfId="4552" priority="659">
      <formula>OR(AH67="Sa",AH67="Di",AJ67="F")</formula>
    </cfRule>
    <cfRule type="expression" dxfId="4551" priority="660">
      <formula>AH67&lt;&gt;""</formula>
    </cfRule>
  </conditionalFormatting>
  <conditionalFormatting sqref="AN67">
    <cfRule type="expression" dxfId="4550" priority="657">
      <formula>OR(AH67="Sa",AH67="Di",AJ67="F")</formula>
    </cfRule>
    <cfRule type="expression" dxfId="4549" priority="658">
      <formula>AH67&lt;&gt;""</formula>
    </cfRule>
  </conditionalFormatting>
  <conditionalFormatting sqref="AL67:AM67">
    <cfRule type="expression" dxfId="4548" priority="661">
      <formula>OR(AH67="Sa",AH67="Di",AJ67="F")</formula>
    </cfRule>
    <cfRule type="expression" dxfId="4547" priority="663">
      <formula>AH67&lt;&gt;""</formula>
    </cfRule>
  </conditionalFormatting>
  <conditionalFormatting sqref="AK67">
    <cfRule type="expression" dxfId="4546" priority="653">
      <formula>OR(AH67="Sa",AH67="Di",AJ67="F")</formula>
    </cfRule>
    <cfRule type="expression" dxfId="4545" priority="654">
      <formula>AH67&lt;&gt;""</formula>
    </cfRule>
  </conditionalFormatting>
  <conditionalFormatting sqref="AH67">
    <cfRule type="expression" dxfId="4544" priority="652" stopIfTrue="1">
      <formula>OR(AH67="Sa",AH67="Di",AJ67="F")</formula>
    </cfRule>
    <cfRule type="expression" dxfId="4543" priority="662" stopIfTrue="1">
      <formula>AL67&lt;&gt;""</formula>
    </cfRule>
    <cfRule type="expression" dxfId="4542" priority="664" stopIfTrue="1">
      <formula>AH67&lt;&gt;""</formula>
    </cfRule>
  </conditionalFormatting>
  <conditionalFormatting sqref="AL67:AM67">
    <cfRule type="expression" dxfId="4541" priority="648">
      <formula>OR(AH67="Sa",AH67="Di",AJ67="F")</formula>
    </cfRule>
    <cfRule type="expression" dxfId="4540" priority="649">
      <formula>AH67&lt;&gt;""</formula>
    </cfRule>
  </conditionalFormatting>
  <conditionalFormatting sqref="AN67">
    <cfRule type="expression" dxfId="4539" priority="650">
      <formula>OR(AH67="Sa",AH67="Di",AJ67="F")</formula>
    </cfRule>
    <cfRule type="expression" dxfId="4538" priority="651">
      <formula>AH67&lt;&gt;""</formula>
    </cfRule>
  </conditionalFormatting>
  <conditionalFormatting sqref="AQ67">
    <cfRule type="expression" dxfId="4537" priority="640">
      <formula>OR(AP67="Sa",AP67="Di",AR67="F")</formula>
    </cfRule>
    <cfRule type="expression" dxfId="4536" priority="641">
      <formula>AP67&lt;&gt;""</formula>
    </cfRule>
  </conditionalFormatting>
  <conditionalFormatting sqref="AV67">
    <cfRule type="expression" dxfId="4535" priority="638">
      <formula>OR(AP67="Sa",AP67="Di",AR67="F")</formula>
    </cfRule>
    <cfRule type="expression" dxfId="4534" priority="639">
      <formula>AP67&lt;&gt;""</formula>
    </cfRule>
  </conditionalFormatting>
  <conditionalFormatting sqref="AT67:AU67">
    <cfRule type="expression" dxfId="4533" priority="642">
      <formula>OR(AP67="Sa",AP67="Di",AR67="F")</formula>
    </cfRule>
    <cfRule type="expression" dxfId="4532" priority="644">
      <formula>AP67&lt;&gt;""</formula>
    </cfRule>
  </conditionalFormatting>
  <conditionalFormatting sqref="AS67">
    <cfRule type="expression" dxfId="4531" priority="634">
      <formula>OR(AP67="Sa",AP67="Di",AR67="F")</formula>
    </cfRule>
    <cfRule type="expression" dxfId="4530" priority="635">
      <formula>AP67&lt;&gt;""</formula>
    </cfRule>
  </conditionalFormatting>
  <conditionalFormatting sqref="AP67">
    <cfRule type="expression" dxfId="4529" priority="633" stopIfTrue="1">
      <formula>OR(AP67="Sa",AP67="Di",AR67="F")</formula>
    </cfRule>
    <cfRule type="expression" dxfId="4528" priority="643" stopIfTrue="1">
      <formula>AT67&lt;&gt;""</formula>
    </cfRule>
    <cfRule type="expression" dxfId="4527" priority="645" stopIfTrue="1">
      <formula>AP67&lt;&gt;""</formula>
    </cfRule>
  </conditionalFormatting>
  <conditionalFormatting sqref="AT67:AU67">
    <cfRule type="expression" dxfId="4526" priority="629">
      <formula>OR(AP67="Sa",AP67="Di",AR67="F")</formula>
    </cfRule>
    <cfRule type="expression" dxfId="4525" priority="630">
      <formula>AP67&lt;&gt;""</formula>
    </cfRule>
  </conditionalFormatting>
  <conditionalFormatting sqref="AV67">
    <cfRule type="expression" dxfId="4524" priority="631">
      <formula>OR(AP67="Sa",AP67="Di",AR67="F")</formula>
    </cfRule>
    <cfRule type="expression" dxfId="4523" priority="632">
      <formula>AP67&lt;&gt;""</formula>
    </cfRule>
  </conditionalFormatting>
  <conditionalFormatting sqref="F134">
    <cfRule type="expression" dxfId="4522" priority="610">
      <formula>OR(B134="Sa",B134="Di",D134="F")</formula>
    </cfRule>
    <cfRule type="expression" dxfId="4521" priority="611">
      <formula>B134&lt;&gt;""</formula>
    </cfRule>
  </conditionalFormatting>
  <conditionalFormatting sqref="H134">
    <cfRule type="expression" dxfId="4520" priority="612">
      <formula>OR(B134="Sa",B134="Di",D134="F")</formula>
    </cfRule>
    <cfRule type="expression" dxfId="4519" priority="613">
      <formula>B134&lt;&gt;""</formula>
    </cfRule>
  </conditionalFormatting>
  <conditionalFormatting sqref="N134">
    <cfRule type="expression" dxfId="4518" priority="591">
      <formula>OR(J134="Sa",J134="Di",L134="F")</formula>
    </cfRule>
    <cfRule type="expression" dxfId="4517" priority="592">
      <formula>J134&lt;&gt;""</formula>
    </cfRule>
  </conditionalFormatting>
  <conditionalFormatting sqref="P134">
    <cfRule type="expression" dxfId="4516" priority="593">
      <formula>OR(J134="Sa",J134="Di",L134="F")</formula>
    </cfRule>
    <cfRule type="expression" dxfId="4515" priority="594">
      <formula>J134&lt;&gt;""</formula>
    </cfRule>
  </conditionalFormatting>
  <conditionalFormatting sqref="V134">
    <cfRule type="expression" dxfId="4514" priority="572">
      <formula>OR(R134="Sa",R134="Di",T134="F")</formula>
    </cfRule>
    <cfRule type="expression" dxfId="4513" priority="573">
      <formula>R134&lt;&gt;""</formula>
    </cfRule>
  </conditionalFormatting>
  <conditionalFormatting sqref="X134">
    <cfRule type="expression" dxfId="4512" priority="574">
      <formula>OR(R134="Sa",R134="Di",T134="F")</formula>
    </cfRule>
    <cfRule type="expression" dxfId="4511" priority="575">
      <formula>R134&lt;&gt;""</formula>
    </cfRule>
  </conditionalFormatting>
  <conditionalFormatting sqref="AD134">
    <cfRule type="expression" dxfId="4510" priority="553">
      <formula>OR(Z134="Sa",Z134="Di",AB134="F")</formula>
    </cfRule>
    <cfRule type="expression" dxfId="4509" priority="554">
      <formula>Z134&lt;&gt;""</formula>
    </cfRule>
  </conditionalFormatting>
  <conditionalFormatting sqref="AF134">
    <cfRule type="expression" dxfId="4508" priority="555">
      <formula>OR(Z134="Sa",Z134="Di",AB134="F")</formula>
    </cfRule>
    <cfRule type="expression" dxfId="4507" priority="556">
      <formula>Z134&lt;&gt;""</formula>
    </cfRule>
  </conditionalFormatting>
  <conditionalFormatting sqref="AL134">
    <cfRule type="expression" dxfId="4506" priority="534">
      <formula>OR(AH134="Sa",AH134="Di",AJ134="F")</formula>
    </cfRule>
    <cfRule type="expression" dxfId="4505" priority="535">
      <formula>AH134&lt;&gt;""</formula>
    </cfRule>
  </conditionalFormatting>
  <conditionalFormatting sqref="AN134">
    <cfRule type="expression" dxfId="4504" priority="536">
      <formula>OR(AH134="Sa",AH134="Di",AJ134="F")</formula>
    </cfRule>
    <cfRule type="expression" dxfId="4503" priority="537">
      <formula>AH134&lt;&gt;""</formula>
    </cfRule>
  </conditionalFormatting>
  <conditionalFormatting sqref="AT134">
    <cfRule type="expression" dxfId="4502" priority="515">
      <formula>OR(AP134="Sa",AP134="Di",AR134="F")</formula>
    </cfRule>
    <cfRule type="expression" dxfId="4501" priority="516">
      <formula>AP134&lt;&gt;""</formula>
    </cfRule>
  </conditionalFormatting>
  <conditionalFormatting sqref="AV134">
    <cfRule type="expression" dxfId="4500" priority="517">
      <formula>OR(AP134="Sa",AP134="Di",AR134="F")</formula>
    </cfRule>
    <cfRule type="expression" dxfId="4499" priority="518">
      <formula>AP134&lt;&gt;""</formula>
    </cfRule>
  </conditionalFormatting>
  <conditionalFormatting sqref="N68:P68 F68:H68 V68:X68 AD68:AF68 AL68:AN68 AT68:AV68">
    <cfRule type="expression" dxfId="4498" priority="512">
      <formula>$H$68&lt;&gt;""</formula>
    </cfRule>
  </conditionalFormatting>
  <conditionalFormatting sqref="F6:F66">
    <cfRule type="expression" dxfId="4497" priority="724">
      <formula>OR(B6="Sa",B6="Di",D6="F")</formula>
    </cfRule>
    <cfRule type="expression" dxfId="4496" priority="725">
      <formula>B6&lt;&gt;""</formula>
    </cfRule>
  </conditionalFormatting>
  <conditionalFormatting sqref="G6:G66 AU136 AM136 AE136 W136 O136 G136 G134 O134 W134 AE134 AU134 AM134">
    <cfRule type="expression" dxfId="4495" priority="440">
      <formula>OR(B6="Sa",B6="Di",D6="F")</formula>
    </cfRule>
    <cfRule type="expression" dxfId="4494" priority="441">
      <formula>B6&lt;&gt;""</formula>
    </cfRule>
  </conditionalFormatting>
  <conditionalFormatting sqref="C135 K135 S135 AA135 AI135 AQ135">
    <cfRule type="expression" dxfId="4493" priority="416">
      <formula>OR(B135="Sa",B135="Di",D135="F")</formula>
    </cfRule>
    <cfRule type="expression" dxfId="4492" priority="417">
      <formula>B135&lt;&gt;""</formula>
    </cfRule>
  </conditionalFormatting>
  <conditionalFormatting sqref="E135">
    <cfRule type="expression" dxfId="4491" priority="414">
      <formula>OR(B135="Sa",B135="Di",D135="F")</formula>
    </cfRule>
    <cfRule type="expression" dxfId="4490" priority="415">
      <formula>B135&lt;&gt;""</formula>
    </cfRule>
  </conditionalFormatting>
  <conditionalFormatting sqref="M135">
    <cfRule type="expression" dxfId="4489" priority="412">
      <formula>OR(J135="Sa",J135="Di",L135="F")</formula>
    </cfRule>
    <cfRule type="expression" dxfId="4488" priority="413">
      <formula>J135&lt;&gt;""</formula>
    </cfRule>
  </conditionalFormatting>
  <conditionalFormatting sqref="U135">
    <cfRule type="expression" dxfId="4487" priority="410">
      <formula>OR(R135="Sa",R135="Di",T135="F")</formula>
    </cfRule>
    <cfRule type="expression" dxfId="4486" priority="411">
      <formula>R135&lt;&gt;""</formula>
    </cfRule>
  </conditionalFormatting>
  <conditionalFormatting sqref="AC135">
    <cfRule type="expression" dxfId="4485" priority="408">
      <formula>OR(Z135="Sa",Z135="Di",AB135="F")</formula>
    </cfRule>
    <cfRule type="expression" dxfId="4484" priority="409">
      <formula>Z135&lt;&gt;""</formula>
    </cfRule>
  </conditionalFormatting>
  <conditionalFormatting sqref="AK135">
    <cfRule type="expression" dxfId="4483" priority="406">
      <formula>OR(AH135="Sa",AH135="Di",AJ135="F")</formula>
    </cfRule>
    <cfRule type="expression" dxfId="4482" priority="407">
      <formula>AH135&lt;&gt;""</formula>
    </cfRule>
  </conditionalFormatting>
  <conditionalFormatting sqref="AS135">
    <cfRule type="expression" dxfId="4481" priority="404">
      <formula>OR(AP135="Sa",AP135="Di",AR135="F")</formula>
    </cfRule>
    <cfRule type="expression" dxfId="4480" priority="405">
      <formula>AP135&lt;&gt;""</formula>
    </cfRule>
  </conditionalFormatting>
  <conditionalFormatting sqref="N135:O135 V135:W135 AD135:AE135 AL135:AN135 AT135:AV135">
    <cfRule type="expression" dxfId="4479" priority="403">
      <formula>$H$68&lt;&gt;""</formula>
    </cfRule>
  </conditionalFormatting>
  <conditionalFormatting sqref="F135:G135">
    <cfRule type="expression" dxfId="4478" priority="401">
      <formula>$H$68&lt;&gt;""</formula>
    </cfRule>
  </conditionalFormatting>
  <conditionalFormatting sqref="AF135">
    <cfRule type="expression" dxfId="4477" priority="400">
      <formula>$H$68&lt;&gt;""</formula>
    </cfRule>
  </conditionalFormatting>
  <conditionalFormatting sqref="X135">
    <cfRule type="expression" dxfId="4476" priority="399">
      <formula>$H$68&lt;&gt;""</formula>
    </cfRule>
  </conditionalFormatting>
  <conditionalFormatting sqref="P135">
    <cfRule type="expression" dxfId="4475" priority="398">
      <formula>$H$68&lt;&gt;""</formula>
    </cfRule>
  </conditionalFormatting>
  <conditionalFormatting sqref="H135">
    <cfRule type="expression" dxfId="4474" priority="397">
      <formula>$H$68&lt;&gt;""</formula>
    </cfRule>
  </conditionalFormatting>
  <conditionalFormatting sqref="B2:AV2">
    <cfRule type="expression" dxfId="4473" priority="342">
      <formula>$Z$2&lt;&gt;""</formula>
    </cfRule>
  </conditionalFormatting>
  <conditionalFormatting sqref="B4:H4">
    <cfRule type="expression" dxfId="4472" priority="341">
      <formula>B4&lt;&gt;""</formula>
    </cfRule>
  </conditionalFormatting>
  <conditionalFormatting sqref="C6:C70 K68:K70 S68:S70 AA68:AA70 AI68:AI70 AQ68:AQ70 C134 K134 S134 AA134">
    <cfRule type="expression" dxfId="4471" priority="803">
      <formula>OR(B6="Sa",B6="Di",D6="F")</formula>
    </cfRule>
    <cfRule type="expression" dxfId="4470" priority="804">
      <formula>B6&lt;&gt;""</formula>
    </cfRule>
  </conditionalFormatting>
  <conditionalFormatting sqref="P6:P66">
    <cfRule type="expression" dxfId="4469" priority="162">
      <formula>OR(J6="Sa",J6="Di",L6="F")</formula>
    </cfRule>
    <cfRule type="expression" dxfId="4468" priority="163">
      <formula>J6&lt;&gt;""</formula>
    </cfRule>
  </conditionalFormatting>
  <conditionalFormatting sqref="M6:M66">
    <cfRule type="expression" dxfId="4467" priority="160">
      <formula>OR(J6="Sa",J6="Di",L6="F")</formula>
    </cfRule>
    <cfRule type="expression" dxfId="4466" priority="161">
      <formula>J6&lt;&gt;""</formula>
    </cfRule>
  </conditionalFormatting>
  <conditionalFormatting sqref="J6:J66">
    <cfRule type="expression" dxfId="4465" priority="159" stopIfTrue="1">
      <formula>OR(J6="Sa",J6="Di",L6="F")</formula>
    </cfRule>
    <cfRule type="expression" dxfId="4464" priority="166" stopIfTrue="1">
      <formula>J6&lt;&gt;""</formula>
    </cfRule>
  </conditionalFormatting>
  <conditionalFormatting sqref="P66">
    <cfRule type="expression" dxfId="4463" priority="157">
      <formula>OR(J66="Sa",J66="Di",L66="F")</formula>
    </cfRule>
    <cfRule type="expression" dxfId="4462" priority="158">
      <formula>J66&lt;&gt;""</formula>
    </cfRule>
  </conditionalFormatting>
  <conditionalFormatting sqref="N6:N66">
    <cfRule type="expression" dxfId="4461" priority="155">
      <formula>OR(J6="Sa",J6="Di",L6="F")</formula>
    </cfRule>
    <cfRule type="expression" dxfId="4460" priority="156">
      <formula>J6&lt;&gt;""</formula>
    </cfRule>
  </conditionalFormatting>
  <conditionalFormatting sqref="O6:O66">
    <cfRule type="expression" dxfId="4459" priority="153">
      <formula>OR(J6="Sa",J6="Di",L6="F")</formula>
    </cfRule>
    <cfRule type="expression" dxfId="4458" priority="154">
      <formula>J6&lt;&gt;""</formula>
    </cfRule>
  </conditionalFormatting>
  <conditionalFormatting sqref="K6:K66">
    <cfRule type="expression" dxfId="4457" priority="164">
      <formula>OR(J6="Sa",J6="Di",L6="F")</formula>
    </cfRule>
    <cfRule type="expression" dxfId="4456" priority="165">
      <formula>J6&lt;&gt;""</formula>
    </cfRule>
  </conditionalFormatting>
  <conditionalFormatting sqref="X6:X66">
    <cfRule type="expression" dxfId="4455" priority="148">
      <formula>OR(R6="Sa",R6="Di",T6="F")</formula>
    </cfRule>
    <cfRule type="expression" dxfId="4454" priority="149">
      <formula>R6&lt;&gt;""</formula>
    </cfRule>
  </conditionalFormatting>
  <conditionalFormatting sqref="U6:U66">
    <cfRule type="expression" dxfId="4453" priority="146">
      <formula>OR(R6="Sa",R6="Di",T6="F")</formula>
    </cfRule>
    <cfRule type="expression" dxfId="4452" priority="147">
      <formula>R6&lt;&gt;""</formula>
    </cfRule>
  </conditionalFormatting>
  <conditionalFormatting sqref="R6:R66">
    <cfRule type="expression" dxfId="4451" priority="145" stopIfTrue="1">
      <formula>OR(R6="Sa",R6="Di",T6="F")</formula>
    </cfRule>
    <cfRule type="expression" dxfId="4450" priority="152" stopIfTrue="1">
      <formula>R6&lt;&gt;""</formula>
    </cfRule>
  </conditionalFormatting>
  <conditionalFormatting sqref="X66">
    <cfRule type="expression" dxfId="4449" priority="143">
      <formula>OR(R66="Sa",R66="Di",T66="F")</formula>
    </cfRule>
    <cfRule type="expression" dxfId="4448" priority="144">
      <formula>R66&lt;&gt;""</formula>
    </cfRule>
  </conditionalFormatting>
  <conditionalFormatting sqref="V6:V66">
    <cfRule type="expression" dxfId="4447" priority="141">
      <formula>OR(R6="Sa",R6="Di",T6="F")</formula>
    </cfRule>
    <cfRule type="expression" dxfId="4446" priority="142">
      <formula>R6&lt;&gt;""</formula>
    </cfRule>
  </conditionalFormatting>
  <conditionalFormatting sqref="W6:W66">
    <cfRule type="expression" dxfId="4445" priority="139">
      <formula>OR(R6="Sa",R6="Di",T6="F")</formula>
    </cfRule>
    <cfRule type="expression" dxfId="4444" priority="140">
      <formula>R6&lt;&gt;""</formula>
    </cfRule>
  </conditionalFormatting>
  <conditionalFormatting sqref="S6:S66">
    <cfRule type="expression" dxfId="4443" priority="150">
      <formula>OR(R6="Sa",R6="Di",T6="F")</formula>
    </cfRule>
    <cfRule type="expression" dxfId="4442" priority="151">
      <formula>R6&lt;&gt;""</formula>
    </cfRule>
  </conditionalFormatting>
  <conditionalFormatting sqref="AF6:AF66">
    <cfRule type="expression" dxfId="4441" priority="134">
      <formula>OR(Z6="Sa",Z6="Di",AB6="F")</formula>
    </cfRule>
    <cfRule type="expression" dxfId="4440" priority="135">
      <formula>Z6&lt;&gt;""</formula>
    </cfRule>
  </conditionalFormatting>
  <conditionalFormatting sqref="AC6:AC66">
    <cfRule type="expression" dxfId="4439" priority="132">
      <formula>OR(Z6="Sa",Z6="Di",AB6="F")</formula>
    </cfRule>
    <cfRule type="expression" dxfId="4438" priority="133">
      <formula>Z6&lt;&gt;""</formula>
    </cfRule>
  </conditionalFormatting>
  <conditionalFormatting sqref="Z6:Z66">
    <cfRule type="expression" dxfId="4437" priority="131" stopIfTrue="1">
      <formula>OR(Z6="Sa",Z6="Di",AB6="F")</formula>
    </cfRule>
    <cfRule type="expression" dxfId="4436" priority="138" stopIfTrue="1">
      <formula>Z6&lt;&gt;""</formula>
    </cfRule>
  </conditionalFormatting>
  <conditionalFormatting sqref="AF66">
    <cfRule type="expression" dxfId="4435" priority="129">
      <formula>OR(Z66="Sa",Z66="Di",AB66="F")</formula>
    </cfRule>
    <cfRule type="expression" dxfId="4434" priority="130">
      <formula>Z66&lt;&gt;""</formula>
    </cfRule>
  </conditionalFormatting>
  <conditionalFormatting sqref="AD6:AD66">
    <cfRule type="expression" dxfId="4433" priority="127">
      <formula>OR(Z6="Sa",Z6="Di",AB6="F")</formula>
    </cfRule>
    <cfRule type="expression" dxfId="4432" priority="128">
      <formula>Z6&lt;&gt;""</formula>
    </cfRule>
  </conditionalFormatting>
  <conditionalFormatting sqref="AE6:AE66">
    <cfRule type="expression" dxfId="4431" priority="125">
      <formula>OR(Z6="Sa",Z6="Di",AB6="F")</formula>
    </cfRule>
    <cfRule type="expression" dxfId="4430" priority="126">
      <formula>Z6&lt;&gt;""</formula>
    </cfRule>
  </conditionalFormatting>
  <conditionalFormatting sqref="AA6:AA66">
    <cfRule type="expression" dxfId="4429" priority="136">
      <formula>OR(Z6="Sa",Z6="Di",AB6="F")</formula>
    </cfRule>
    <cfRule type="expression" dxfId="4428" priority="137">
      <formula>Z6&lt;&gt;""</formula>
    </cfRule>
  </conditionalFormatting>
  <conditionalFormatting sqref="AN6:AN66">
    <cfRule type="expression" dxfId="4427" priority="120">
      <formula>OR(AH6="Sa",AH6="Di",AJ6="F")</formula>
    </cfRule>
    <cfRule type="expression" dxfId="4426" priority="121">
      <formula>AH6&lt;&gt;""</formula>
    </cfRule>
  </conditionalFormatting>
  <conditionalFormatting sqref="AK6:AK66">
    <cfRule type="expression" dxfId="4425" priority="118">
      <formula>OR(AH6="Sa",AH6="Di",AJ6="F")</formula>
    </cfRule>
    <cfRule type="expression" dxfId="4424" priority="119">
      <formula>AH6&lt;&gt;""</formula>
    </cfRule>
  </conditionalFormatting>
  <conditionalFormatting sqref="AH6:AH66">
    <cfRule type="expression" dxfId="4423" priority="117" stopIfTrue="1">
      <formula>OR(AH6="Sa",AH6="Di",AJ6="F")</formula>
    </cfRule>
    <cfRule type="expression" dxfId="4422" priority="124" stopIfTrue="1">
      <formula>AH6&lt;&gt;""</formula>
    </cfRule>
  </conditionalFormatting>
  <conditionalFormatting sqref="AN66">
    <cfRule type="expression" dxfId="4421" priority="115">
      <formula>OR(AH66="Sa",AH66="Di",AJ66="F")</formula>
    </cfRule>
    <cfRule type="expression" dxfId="4420" priority="116">
      <formula>AH66&lt;&gt;""</formula>
    </cfRule>
  </conditionalFormatting>
  <conditionalFormatting sqref="AL6:AL66">
    <cfRule type="expression" dxfId="4419" priority="113">
      <formula>OR(AH6="Sa",AH6="Di",AJ6="F")</formula>
    </cfRule>
    <cfRule type="expression" dxfId="4418" priority="114">
      <formula>AH6&lt;&gt;""</formula>
    </cfRule>
  </conditionalFormatting>
  <conditionalFormatting sqref="AM6:AM66">
    <cfRule type="expression" dxfId="4417" priority="111">
      <formula>OR(AH6="Sa",AH6="Di",AJ6="F")</formula>
    </cfRule>
    <cfRule type="expression" dxfId="4416" priority="112">
      <formula>AH6&lt;&gt;""</formula>
    </cfRule>
  </conditionalFormatting>
  <conditionalFormatting sqref="AI6:AI66">
    <cfRule type="expression" dxfId="4415" priority="122">
      <formula>OR(AH6="Sa",AH6="Di",AJ6="F")</formula>
    </cfRule>
    <cfRule type="expression" dxfId="4414" priority="123">
      <formula>AH6&lt;&gt;""</formula>
    </cfRule>
  </conditionalFormatting>
  <conditionalFormatting sqref="AV6:AV66">
    <cfRule type="expression" dxfId="4413" priority="106">
      <formula>OR(AP6="Sa",AP6="Di",AR6="F")</formula>
    </cfRule>
    <cfRule type="expression" dxfId="4412" priority="107">
      <formula>AP6&lt;&gt;""</formula>
    </cfRule>
  </conditionalFormatting>
  <conditionalFormatting sqref="AS6:AS66">
    <cfRule type="expression" dxfId="4411" priority="104">
      <formula>OR(AP6="Sa",AP6="Di",AR6="F")</formula>
    </cfRule>
    <cfRule type="expression" dxfId="4410" priority="105">
      <formula>AP6&lt;&gt;""</formula>
    </cfRule>
  </conditionalFormatting>
  <conditionalFormatting sqref="AP6:AP66">
    <cfRule type="expression" dxfId="4409" priority="103" stopIfTrue="1">
      <formula>OR(AP6="Sa",AP6="Di",AR6="F")</formula>
    </cfRule>
    <cfRule type="expression" dxfId="4408" priority="110" stopIfTrue="1">
      <formula>AP6&lt;&gt;""</formula>
    </cfRule>
  </conditionalFormatting>
  <conditionalFormatting sqref="AV66">
    <cfRule type="expression" dxfId="4407" priority="101">
      <formula>OR(AP66="Sa",AP66="Di",AR66="F")</formula>
    </cfRule>
    <cfRule type="expression" dxfId="4406" priority="102">
      <formula>AP66&lt;&gt;""</formula>
    </cfRule>
  </conditionalFormatting>
  <conditionalFormatting sqref="AT6:AT66">
    <cfRule type="expression" dxfId="4405" priority="99">
      <formula>OR(AP6="Sa",AP6="Di",AR6="F")</formula>
    </cfRule>
    <cfRule type="expression" dxfId="4404" priority="100">
      <formula>AP6&lt;&gt;""</formula>
    </cfRule>
  </conditionalFormatting>
  <conditionalFormatting sqref="AU6:AU66">
    <cfRule type="expression" dxfId="4403" priority="97">
      <formula>OR(AP6="Sa",AP6="Di",AR6="F")</formula>
    </cfRule>
    <cfRule type="expression" dxfId="4402" priority="98">
      <formula>AP6&lt;&gt;""</formula>
    </cfRule>
  </conditionalFormatting>
  <conditionalFormatting sqref="AQ6:AQ66">
    <cfRule type="expression" dxfId="4401" priority="108">
      <formula>OR(AP6="Sa",AP6="Di",AR6="F")</formula>
    </cfRule>
    <cfRule type="expression" dxfId="4400" priority="109">
      <formula>AP6&lt;&gt;""</formula>
    </cfRule>
  </conditionalFormatting>
  <conditionalFormatting sqref="H73:H133">
    <cfRule type="expression" dxfId="4399" priority="92">
      <formula>OR(B73="Sa",B73="Di",D73="F")</formula>
    </cfRule>
    <cfRule type="expression" dxfId="4398" priority="93">
      <formula>B73&lt;&gt;""</formula>
    </cfRule>
  </conditionalFormatting>
  <conditionalFormatting sqref="E73:E133">
    <cfRule type="expression" dxfId="4397" priority="90">
      <formula>OR(B73="Sa",B73="Di",D73="F")</formula>
    </cfRule>
    <cfRule type="expression" dxfId="4396" priority="91">
      <formula>B73&lt;&gt;""</formula>
    </cfRule>
  </conditionalFormatting>
  <conditionalFormatting sqref="B73:B133">
    <cfRule type="expression" dxfId="4395" priority="89" stopIfTrue="1">
      <formula>OR(B73="Sa",B73="Di",D73="F")</formula>
    </cfRule>
    <cfRule type="expression" dxfId="4394" priority="96" stopIfTrue="1">
      <formula>B73&lt;&gt;""</formula>
    </cfRule>
  </conditionalFormatting>
  <conditionalFormatting sqref="H133">
    <cfRule type="expression" dxfId="4393" priority="87">
      <formula>OR(B133="Sa",B133="Di",D133="F")</formula>
    </cfRule>
    <cfRule type="expression" dxfId="4392" priority="88">
      <formula>B133&lt;&gt;""</formula>
    </cfRule>
  </conditionalFormatting>
  <conditionalFormatting sqref="F73:F133">
    <cfRule type="expression" dxfId="4391" priority="85">
      <formula>OR(B73="Sa",B73="Di",D73="F")</formula>
    </cfRule>
    <cfRule type="expression" dxfId="4390" priority="86">
      <formula>B73&lt;&gt;""</formula>
    </cfRule>
  </conditionalFormatting>
  <conditionalFormatting sqref="G73:G133">
    <cfRule type="expression" dxfId="4389" priority="83">
      <formula>OR(B73="Sa",B73="Di",D73="F")</formula>
    </cfRule>
    <cfRule type="expression" dxfId="4388" priority="84">
      <formula>B73&lt;&gt;""</formula>
    </cfRule>
  </conditionalFormatting>
  <conditionalFormatting sqref="C73:C133">
    <cfRule type="expression" dxfId="4387" priority="94">
      <formula>OR(B73="Sa",B73="Di",D73="F")</formula>
    </cfRule>
    <cfRule type="expression" dxfId="4386" priority="95">
      <formula>B73&lt;&gt;""</formula>
    </cfRule>
  </conditionalFormatting>
  <conditionalFormatting sqref="P73:P133">
    <cfRule type="expression" dxfId="4385" priority="78">
      <formula>OR(J73="Sa",J73="Di",L73="F")</formula>
    </cfRule>
    <cfRule type="expression" dxfId="4384" priority="79">
      <formula>J73&lt;&gt;""</formula>
    </cfRule>
  </conditionalFormatting>
  <conditionalFormatting sqref="M73:M133">
    <cfRule type="expression" dxfId="4383" priority="76">
      <formula>OR(J73="Sa",J73="Di",L73="F")</formula>
    </cfRule>
    <cfRule type="expression" dxfId="4382" priority="77">
      <formula>J73&lt;&gt;""</formula>
    </cfRule>
  </conditionalFormatting>
  <conditionalFormatting sqref="J73:J133">
    <cfRule type="expression" dxfId="4381" priority="75" stopIfTrue="1">
      <formula>OR(J73="Sa",J73="Di",L73="F")</formula>
    </cfRule>
    <cfRule type="expression" dxfId="4380" priority="82" stopIfTrue="1">
      <formula>J73&lt;&gt;""</formula>
    </cfRule>
  </conditionalFormatting>
  <conditionalFormatting sqref="P133">
    <cfRule type="expression" dxfId="4379" priority="73">
      <formula>OR(J133="Sa",J133="Di",L133="F")</formula>
    </cfRule>
    <cfRule type="expression" dxfId="4378" priority="74">
      <formula>J133&lt;&gt;""</formula>
    </cfRule>
  </conditionalFormatting>
  <conditionalFormatting sqref="N73:N133">
    <cfRule type="expression" dxfId="4377" priority="71">
      <formula>OR(J73="Sa",J73="Di",L73="F")</formula>
    </cfRule>
    <cfRule type="expression" dxfId="4376" priority="72">
      <formula>J73&lt;&gt;""</formula>
    </cfRule>
  </conditionalFormatting>
  <conditionalFormatting sqref="O73:O133">
    <cfRule type="expression" dxfId="4375" priority="69">
      <formula>OR(J73="Sa",J73="Di",L73="F")</formula>
    </cfRule>
    <cfRule type="expression" dxfId="4374" priority="70">
      <formula>J73&lt;&gt;""</formula>
    </cfRule>
  </conditionalFormatting>
  <conditionalFormatting sqref="K73:K133">
    <cfRule type="expression" dxfId="4373" priority="80">
      <formula>OR(J73="Sa",J73="Di",L73="F")</formula>
    </cfRule>
    <cfRule type="expression" dxfId="4372" priority="81">
      <formula>J73&lt;&gt;""</formula>
    </cfRule>
  </conditionalFormatting>
  <conditionalFormatting sqref="X73:X133">
    <cfRule type="expression" dxfId="4371" priority="64">
      <formula>OR(R73="Sa",R73="Di",T73="F")</formula>
    </cfRule>
    <cfRule type="expression" dxfId="4370" priority="65">
      <formula>R73&lt;&gt;""</formula>
    </cfRule>
  </conditionalFormatting>
  <conditionalFormatting sqref="U73:U133">
    <cfRule type="expression" dxfId="4369" priority="62">
      <formula>OR(R73="Sa",R73="Di",T73="F")</formula>
    </cfRule>
    <cfRule type="expression" dxfId="4368" priority="63">
      <formula>R73&lt;&gt;""</formula>
    </cfRule>
  </conditionalFormatting>
  <conditionalFormatting sqref="R73:R133">
    <cfRule type="expression" dxfId="4367" priority="61" stopIfTrue="1">
      <formula>OR(R73="Sa",R73="Di",T73="F")</formula>
    </cfRule>
    <cfRule type="expression" dxfId="4366" priority="68" stopIfTrue="1">
      <formula>R73&lt;&gt;""</formula>
    </cfRule>
  </conditionalFormatting>
  <conditionalFormatting sqref="X133">
    <cfRule type="expression" dxfId="4365" priority="59">
      <formula>OR(R133="Sa",R133="Di",T133="F")</formula>
    </cfRule>
    <cfRule type="expression" dxfId="4364" priority="60">
      <formula>R133&lt;&gt;""</formula>
    </cfRule>
  </conditionalFormatting>
  <conditionalFormatting sqref="V73:V133">
    <cfRule type="expression" dxfId="4363" priority="57">
      <formula>OR(R73="Sa",R73="Di",T73="F")</formula>
    </cfRule>
    <cfRule type="expression" dxfId="4362" priority="58">
      <formula>R73&lt;&gt;""</formula>
    </cfRule>
  </conditionalFormatting>
  <conditionalFormatting sqref="W73:W133">
    <cfRule type="expression" dxfId="4361" priority="55">
      <formula>OR(R73="Sa",R73="Di",T73="F")</formula>
    </cfRule>
    <cfRule type="expression" dxfId="4360" priority="56">
      <formula>R73&lt;&gt;""</formula>
    </cfRule>
  </conditionalFormatting>
  <conditionalFormatting sqref="S73:S133">
    <cfRule type="expression" dxfId="4359" priority="66">
      <formula>OR(R73="Sa",R73="Di",T73="F")</formula>
    </cfRule>
    <cfRule type="expression" dxfId="4358" priority="67">
      <formula>R73&lt;&gt;""</formula>
    </cfRule>
  </conditionalFormatting>
  <conditionalFormatting sqref="AF73:AF133">
    <cfRule type="expression" dxfId="4357" priority="50">
      <formula>OR(Z73="Sa",Z73="Di",AB73="F")</formula>
    </cfRule>
    <cfRule type="expression" dxfId="4356" priority="51">
      <formula>Z73&lt;&gt;""</formula>
    </cfRule>
  </conditionalFormatting>
  <conditionalFormatting sqref="AC73:AC133">
    <cfRule type="expression" dxfId="4355" priority="48">
      <formula>OR(Z73="Sa",Z73="Di",AB73="F")</formula>
    </cfRule>
    <cfRule type="expression" dxfId="4354" priority="49">
      <formula>Z73&lt;&gt;""</formula>
    </cfRule>
  </conditionalFormatting>
  <conditionalFormatting sqref="Z73:Z133">
    <cfRule type="expression" dxfId="4353" priority="47" stopIfTrue="1">
      <formula>OR(Z73="Sa",Z73="Di",AB73="F")</formula>
    </cfRule>
    <cfRule type="expression" dxfId="4352" priority="54" stopIfTrue="1">
      <formula>Z73&lt;&gt;""</formula>
    </cfRule>
  </conditionalFormatting>
  <conditionalFormatting sqref="AF133">
    <cfRule type="expression" dxfId="4351" priority="45">
      <formula>OR(Z133="Sa",Z133="Di",AB133="F")</formula>
    </cfRule>
    <cfRule type="expression" dxfId="4350" priority="46">
      <formula>Z133&lt;&gt;""</formula>
    </cfRule>
  </conditionalFormatting>
  <conditionalFormatting sqref="AD73:AD133">
    <cfRule type="expression" dxfId="4349" priority="43">
      <formula>OR(Z73="Sa",Z73="Di",AB73="F")</formula>
    </cfRule>
    <cfRule type="expression" dxfId="4348" priority="44">
      <formula>Z73&lt;&gt;""</formula>
    </cfRule>
  </conditionalFormatting>
  <conditionalFormatting sqref="AE73:AE133">
    <cfRule type="expression" dxfId="4347" priority="41">
      <formula>OR(Z73="Sa",Z73="Di",AB73="F")</formula>
    </cfRule>
    <cfRule type="expression" dxfId="4346" priority="42">
      <formula>Z73&lt;&gt;""</formula>
    </cfRule>
  </conditionalFormatting>
  <conditionalFormatting sqref="AA73:AA133">
    <cfRule type="expression" dxfId="4345" priority="52">
      <formula>OR(Z73="Sa",Z73="Di",AB73="F")</formula>
    </cfRule>
    <cfRule type="expression" dxfId="4344" priority="53">
      <formula>Z73&lt;&gt;""</formula>
    </cfRule>
  </conditionalFormatting>
  <conditionalFormatting sqref="AN73:AN133">
    <cfRule type="expression" dxfId="4343" priority="36">
      <formula>OR(AH73="Sa",AH73="Di",AJ73="F")</formula>
    </cfRule>
    <cfRule type="expression" dxfId="4342" priority="37">
      <formula>AH73&lt;&gt;""</formula>
    </cfRule>
  </conditionalFormatting>
  <conditionalFormatting sqref="AK73:AK133">
    <cfRule type="expression" dxfId="4341" priority="34">
      <formula>OR(AH73="Sa",AH73="Di",AJ73="F")</formula>
    </cfRule>
    <cfRule type="expression" dxfId="4340" priority="35">
      <formula>AH73&lt;&gt;""</formula>
    </cfRule>
  </conditionalFormatting>
  <conditionalFormatting sqref="AH73:AH133">
    <cfRule type="expression" dxfId="4339" priority="33" stopIfTrue="1">
      <formula>OR(AH73="Sa",AH73="Di",AJ73="F")</formula>
    </cfRule>
    <cfRule type="expression" dxfId="4338" priority="40" stopIfTrue="1">
      <formula>AH73&lt;&gt;""</formula>
    </cfRule>
  </conditionalFormatting>
  <conditionalFormatting sqref="AN133">
    <cfRule type="expression" dxfId="4337" priority="31">
      <formula>OR(AH133="Sa",AH133="Di",AJ133="F")</formula>
    </cfRule>
    <cfRule type="expression" dxfId="4336" priority="32">
      <formula>AH133&lt;&gt;""</formula>
    </cfRule>
  </conditionalFormatting>
  <conditionalFormatting sqref="AL73:AL133">
    <cfRule type="expression" dxfId="4335" priority="29">
      <formula>OR(AH73="Sa",AH73="Di",AJ73="F")</formula>
    </cfRule>
    <cfRule type="expression" dxfId="4334" priority="30">
      <formula>AH73&lt;&gt;""</formula>
    </cfRule>
  </conditionalFormatting>
  <conditionalFormatting sqref="AM73:AM133">
    <cfRule type="expression" dxfId="4333" priority="27">
      <formula>OR(AH73="Sa",AH73="Di",AJ73="F")</formula>
    </cfRule>
    <cfRule type="expression" dxfId="4332" priority="28">
      <formula>AH73&lt;&gt;""</formula>
    </cfRule>
  </conditionalFormatting>
  <conditionalFormatting sqref="AI73:AI133">
    <cfRule type="expression" dxfId="4331" priority="38">
      <formula>OR(AH73="Sa",AH73="Di",AJ73="F")</formula>
    </cfRule>
    <cfRule type="expression" dxfId="4330" priority="39">
      <formula>AH73&lt;&gt;""</formula>
    </cfRule>
  </conditionalFormatting>
  <conditionalFormatting sqref="AV73:AV133">
    <cfRule type="expression" dxfId="4329" priority="22">
      <formula>OR(AP73="Sa",AP73="Di",AR73="F")</formula>
    </cfRule>
    <cfRule type="expression" dxfId="4328" priority="23">
      <formula>AP73&lt;&gt;""</formula>
    </cfRule>
  </conditionalFormatting>
  <conditionalFormatting sqref="AS73:AS133">
    <cfRule type="expression" dxfId="4327" priority="20">
      <formula>OR(AP73="Sa",AP73="Di",AR73="F")</formula>
    </cfRule>
    <cfRule type="expression" dxfId="4326" priority="21">
      <formula>AP73&lt;&gt;""</formula>
    </cfRule>
  </conditionalFormatting>
  <conditionalFormatting sqref="AP73:AP133">
    <cfRule type="expression" dxfId="4325" priority="19" stopIfTrue="1">
      <formula>OR(AP73="Sa",AP73="Di",AR73="F")</formula>
    </cfRule>
    <cfRule type="expression" dxfId="4324" priority="26" stopIfTrue="1">
      <formula>AP73&lt;&gt;""</formula>
    </cfRule>
  </conditionalFormatting>
  <conditionalFormatting sqref="AV133">
    <cfRule type="expression" dxfId="4323" priority="17">
      <formula>OR(AP133="Sa",AP133="Di",AR133="F")</formula>
    </cfRule>
    <cfRule type="expression" dxfId="4322" priority="18">
      <formula>AP133&lt;&gt;""</formula>
    </cfRule>
  </conditionalFormatting>
  <conditionalFormatting sqref="AT73:AT133">
    <cfRule type="expression" dxfId="4321" priority="15">
      <formula>OR(AP73="Sa",AP73="Di",AR73="F")</formula>
    </cfRule>
    <cfRule type="expression" dxfId="4320" priority="16">
      <formula>AP73&lt;&gt;""</formula>
    </cfRule>
  </conditionalFormatting>
  <conditionalFormatting sqref="AU73:AU133">
    <cfRule type="expression" dxfId="4319" priority="13">
      <formula>OR(AP73="Sa",AP73="Di",AR73="F")</formula>
    </cfRule>
    <cfRule type="expression" dxfId="4318" priority="14">
      <formula>AP73&lt;&gt;""</formula>
    </cfRule>
  </conditionalFormatting>
  <conditionalFormatting sqref="AQ73:AQ133">
    <cfRule type="expression" dxfId="4317" priority="24">
      <formula>OR(AP73="Sa",AP73="Di",AR73="F")</formula>
    </cfRule>
    <cfRule type="expression" dxfId="4316" priority="25">
      <formula>AP73&lt;&gt;""</formula>
    </cfRule>
  </conditionalFormatting>
  <conditionalFormatting sqref="J4:P4">
    <cfRule type="expression" dxfId="4315" priority="12">
      <formula>J4&lt;&gt;""</formula>
    </cfRule>
  </conditionalFormatting>
  <conditionalFormatting sqref="R4:X4">
    <cfRule type="expression" dxfId="4314" priority="10">
      <formula>R4&lt;&gt;""</formula>
    </cfRule>
  </conditionalFormatting>
  <conditionalFormatting sqref="Z4:AF4">
    <cfRule type="expression" dxfId="4313" priority="9">
      <formula>Z4&lt;&gt;""</formula>
    </cfRule>
  </conditionalFormatting>
  <conditionalFormatting sqref="AH4:AN4">
    <cfRule type="expression" dxfId="4312" priority="8">
      <formula>AH4&lt;&gt;""</formula>
    </cfRule>
  </conditionalFormatting>
  <conditionalFormatting sqref="AP4:AV4">
    <cfRule type="expression" dxfId="4311" priority="7">
      <formula>AP4&lt;&gt;""</formula>
    </cfRule>
  </conditionalFormatting>
  <conditionalFormatting sqref="B71:H71">
    <cfRule type="expression" dxfId="4310" priority="6">
      <formula>B71&lt;&gt;""</formula>
    </cfRule>
  </conditionalFormatting>
  <conditionalFormatting sqref="J71:P71">
    <cfRule type="expression" dxfId="4309" priority="5">
      <formula>J71&lt;&gt;""</formula>
    </cfRule>
  </conditionalFormatting>
  <conditionalFormatting sqref="R71:X71">
    <cfRule type="expression" dxfId="4308" priority="4">
      <formula>R71&lt;&gt;""</formula>
    </cfRule>
  </conditionalFormatting>
  <conditionalFormatting sqref="Z71:AF71">
    <cfRule type="expression" dxfId="4307" priority="3">
      <formula>Z71&lt;&gt;""</formula>
    </cfRule>
  </conditionalFormatting>
  <conditionalFormatting sqref="AH71:AN71">
    <cfRule type="expression" dxfId="4306" priority="2">
      <formula>AH71&lt;&gt;""</formula>
    </cfRule>
  </conditionalFormatting>
  <conditionalFormatting sqref="AP71:AV71">
    <cfRule type="expression" dxfId="4305" priority="1">
      <formula>AP71&lt;&gt;""</formula>
    </cfRule>
  </conditionalFormatting>
  <printOptions horizontalCentered="1" verticalCentered="1"/>
  <pageMargins left="0.31" right="0.31" top="0.36000000000000004" bottom="0.36000000000000004" header="0" footer="0"/>
  <pageSetup paperSize="9" scale="64" fitToHeight="0" orientation="landscape" horizontalDpi="4294967292" verticalDpi="4294967292"/>
  <rowBreaks count="1" manualBreakCount="1">
    <brk id="69" max="42"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1:AK65"/>
  <sheetViews>
    <sheetView showGridLines="0" topLeftCell="B1" zoomScale="113" zoomScaleNormal="113" zoomScalePageLayoutView="113" workbookViewId="0">
      <selection activeCell="D3" sqref="D3:I3"/>
    </sheetView>
  </sheetViews>
  <sheetFormatPr baseColWidth="10" defaultColWidth="11.5" defaultRowHeight="14" x14ac:dyDescent="0.15"/>
  <cols>
    <col min="1" max="2" width="1.6640625" style="1" customWidth="1"/>
    <col min="3" max="3" width="3.1640625" style="105" hidden="1" customWidth="1"/>
    <col min="4" max="5" width="5.6640625" style="105" customWidth="1"/>
    <col min="6" max="6" width="12.1640625" style="1" customWidth="1"/>
    <col min="7" max="7" width="2.1640625" style="1" customWidth="1"/>
    <col min="8" max="8" width="2.1640625" style="105" hidden="1" customWidth="1"/>
    <col min="9" max="10" width="5.6640625" style="105" customWidth="1"/>
    <col min="11" max="11" width="12.1640625" style="1" customWidth="1"/>
    <col min="12" max="12" width="2.1640625" style="1" customWidth="1"/>
    <col min="13" max="13" width="2.1640625" style="105" hidden="1" customWidth="1"/>
    <col min="14" max="15" width="5.6640625" style="105" customWidth="1"/>
    <col min="16" max="16" width="12.1640625" style="1" customWidth="1"/>
    <col min="17" max="17" width="2.1640625" style="1" customWidth="1"/>
    <col min="18" max="18" width="2.1640625" style="105" hidden="1" customWidth="1"/>
    <col min="19" max="20" width="5.6640625" style="105" customWidth="1"/>
    <col min="21" max="21" width="12.1640625" style="1" customWidth="1"/>
    <col min="22" max="22" width="2.1640625" style="1" customWidth="1"/>
    <col min="23" max="23" width="2.1640625" style="105" hidden="1" customWidth="1"/>
    <col min="24" max="25" width="5.6640625" style="105" customWidth="1"/>
    <col min="26" max="26" width="12.1640625" style="1" customWidth="1"/>
    <col min="27" max="27" width="2.1640625" style="1" customWidth="1"/>
    <col min="28" max="28" width="2.1640625" style="105" hidden="1" customWidth="1"/>
    <col min="29" max="30" width="5.6640625" style="105" customWidth="1"/>
    <col min="31" max="31" width="12.1640625" style="1" customWidth="1"/>
    <col min="32" max="32" width="2.1640625" style="1" customWidth="1"/>
    <col min="33" max="33" width="2.1640625" style="105" hidden="1" customWidth="1"/>
    <col min="34" max="35" width="5.6640625" style="105" customWidth="1"/>
    <col min="36" max="36" width="12.1640625" style="1" customWidth="1"/>
    <col min="37" max="37" width="1.83203125" style="1" customWidth="1"/>
    <col min="38" max="16384" width="11.5" style="1"/>
  </cols>
  <sheetData>
    <row r="1" spans="2:37" ht="17" customHeight="1" x14ac:dyDescent="0.15">
      <c r="B1" s="101"/>
      <c r="C1" s="102"/>
      <c r="D1" s="102"/>
      <c r="E1" s="102"/>
      <c r="G1" s="101"/>
      <c r="H1" s="102"/>
      <c r="I1" s="102"/>
      <c r="J1" s="102"/>
      <c r="K1" s="103" t="s">
        <v>53</v>
      </c>
      <c r="L1" s="103"/>
      <c r="M1" s="104"/>
      <c r="N1" s="104"/>
      <c r="O1" s="104"/>
    </row>
    <row r="2" spans="2:37" x14ac:dyDescent="0.15">
      <c r="B2" s="115"/>
      <c r="C2" s="116"/>
      <c r="D2" s="116"/>
      <c r="E2" s="116"/>
      <c r="F2" s="117"/>
      <c r="G2" s="117"/>
      <c r="H2" s="116"/>
      <c r="I2" s="116"/>
      <c r="J2" s="116"/>
      <c r="K2" s="117"/>
      <c r="L2" s="117"/>
      <c r="M2" s="116"/>
      <c r="N2" s="116"/>
      <c r="O2" s="116"/>
      <c r="P2" s="117"/>
      <c r="Q2" s="117"/>
      <c r="R2" s="116"/>
      <c r="S2" s="116"/>
      <c r="T2" s="116"/>
      <c r="U2" s="117"/>
      <c r="V2" s="117"/>
      <c r="W2" s="116"/>
      <c r="X2" s="116"/>
      <c r="Y2" s="116"/>
      <c r="Z2" s="117"/>
      <c r="AA2" s="117"/>
      <c r="AB2" s="116"/>
      <c r="AC2" s="116"/>
      <c r="AD2" s="116"/>
      <c r="AE2" s="117"/>
      <c r="AF2" s="117"/>
      <c r="AG2" s="116"/>
      <c r="AH2" s="116"/>
      <c r="AI2" s="116"/>
      <c r="AJ2" s="117"/>
      <c r="AK2" s="118"/>
    </row>
    <row r="3" spans="2:37" ht="34" thickBot="1" x14ac:dyDescent="0.35">
      <c r="B3" s="119"/>
      <c r="C3" s="106"/>
      <c r="D3" s="543" t="str">
        <f>UPPER(TEXT(AH7,"mmmm"))</f>
        <v>DÉCEMBRE</v>
      </c>
      <c r="E3" s="544"/>
      <c r="F3" s="544"/>
      <c r="G3" s="544"/>
      <c r="H3" s="544"/>
      <c r="I3" s="544"/>
      <c r="J3" s="328">
        <v>12</v>
      </c>
      <c r="K3" s="327"/>
      <c r="L3" s="329"/>
      <c r="M3" s="330"/>
      <c r="N3" s="331"/>
      <c r="O3" s="331"/>
      <c r="P3" s="331"/>
      <c r="Q3" s="331"/>
      <c r="R3" s="331"/>
      <c r="S3" s="331"/>
      <c r="T3" s="331"/>
      <c r="U3" s="331"/>
      <c r="V3" s="522" t="str">
        <f>CONCATENATE( Introduction!D3," ",YEAR(AH7),"   ")</f>
        <v xml:space="preserve">Mon calendrier 2021   </v>
      </c>
      <c r="W3" s="522"/>
      <c r="X3" s="522"/>
      <c r="Y3" s="522"/>
      <c r="Z3" s="522"/>
      <c r="AA3" s="522"/>
      <c r="AB3" s="522"/>
      <c r="AC3" s="522"/>
      <c r="AD3" s="522"/>
      <c r="AE3" s="522"/>
      <c r="AF3" s="522"/>
      <c r="AG3" s="522"/>
      <c r="AH3" s="522"/>
      <c r="AI3" s="522"/>
      <c r="AJ3" s="545"/>
      <c r="AK3" s="127"/>
    </row>
    <row r="4" spans="2:37" s="2" customFormat="1" ht="15" customHeight="1" x14ac:dyDescent="0.35">
      <c r="B4" s="119"/>
      <c r="C4" s="120"/>
      <c r="D4" s="120"/>
      <c r="E4" s="211" t="str">
        <f ca="1">CONCATENATE("© Jean-Jacques Rey"," — ",MID(CELL("filename",C2),FIND("[",CELL("filename",C2))+1,SUM(FIND({"[";"]"},CELL("filename",C2))*{-1;1})-6))</f>
        <v>© Jean-Jacques Rey — My e-Calendar v2.6 public</v>
      </c>
      <c r="F4" s="121"/>
      <c r="G4" s="121"/>
      <c r="H4" s="122"/>
      <c r="I4" s="122"/>
      <c r="J4" s="159"/>
      <c r="K4" s="121"/>
      <c r="L4" s="121"/>
      <c r="M4" s="122"/>
      <c r="N4" s="222" t="str">
        <f>CONCATENATE("Heures de lever et coucher du Soleil à ",VLOOKUP(Introduction!F6,Soleil!Y10:AG54,3,FALSE))</f>
        <v>Heures de lever et coucher du Soleil à Paris</v>
      </c>
      <c r="O4" s="122"/>
      <c r="P4" s="123"/>
      <c r="Q4" s="123"/>
      <c r="R4" s="124"/>
      <c r="S4" s="124"/>
      <c r="T4" s="124"/>
      <c r="U4" s="123"/>
      <c r="V4" s="123"/>
      <c r="W4" s="124"/>
      <c r="X4" s="124"/>
      <c r="Y4" s="124"/>
      <c r="Z4" s="123"/>
      <c r="AA4" s="149" t="str">
        <f>IF(Introduction!$D$4="","",Introduction!$D$4)</f>
        <v/>
      </c>
      <c r="AB4" s="124"/>
      <c r="AC4" s="124"/>
      <c r="AD4" s="124"/>
      <c r="AE4" s="123"/>
      <c r="AF4" s="123"/>
      <c r="AG4" s="124"/>
      <c r="AH4" s="124"/>
      <c r="AI4" s="124"/>
      <c r="AJ4" s="125"/>
      <c r="AK4" s="126"/>
    </row>
    <row r="5" spans="2:37" ht="24" thickBot="1" x14ac:dyDescent="0.3">
      <c r="B5" s="119"/>
      <c r="C5" s="106"/>
      <c r="D5" s="546" t="s">
        <v>52</v>
      </c>
      <c r="E5" s="547"/>
      <c r="F5" s="548"/>
      <c r="G5" s="140"/>
      <c r="H5" s="107"/>
      <c r="I5" s="546" t="s">
        <v>51</v>
      </c>
      <c r="J5" s="547"/>
      <c r="K5" s="548"/>
      <c r="L5" s="140"/>
      <c r="M5" s="107"/>
      <c r="N5" s="546" t="s">
        <v>50</v>
      </c>
      <c r="O5" s="547"/>
      <c r="P5" s="548"/>
      <c r="Q5" s="140"/>
      <c r="R5" s="107"/>
      <c r="S5" s="546" t="s">
        <v>49</v>
      </c>
      <c r="T5" s="547"/>
      <c r="U5" s="548"/>
      <c r="V5" s="140"/>
      <c r="W5" s="107"/>
      <c r="X5" s="546" t="s">
        <v>48</v>
      </c>
      <c r="Y5" s="547"/>
      <c r="Z5" s="548"/>
      <c r="AA5" s="140"/>
      <c r="AB5" s="107"/>
      <c r="AC5" s="546" t="s">
        <v>47</v>
      </c>
      <c r="AD5" s="547"/>
      <c r="AE5" s="548"/>
      <c r="AF5" s="140"/>
      <c r="AG5" s="107"/>
      <c r="AH5" s="546" t="s">
        <v>46</v>
      </c>
      <c r="AI5" s="547"/>
      <c r="AJ5" s="548"/>
      <c r="AK5" s="126"/>
    </row>
    <row r="6" spans="2:37" ht="9" customHeight="1" x14ac:dyDescent="0.2">
      <c r="B6" s="119"/>
      <c r="C6" s="120"/>
      <c r="D6" s="120"/>
      <c r="E6" s="120"/>
      <c r="F6" s="140"/>
      <c r="G6" s="140"/>
      <c r="H6" s="144"/>
      <c r="I6" s="144"/>
      <c r="J6" s="144"/>
      <c r="K6" s="140"/>
      <c r="L6" s="140"/>
      <c r="M6" s="144"/>
      <c r="N6" s="144"/>
      <c r="O6" s="144"/>
      <c r="P6" s="140"/>
      <c r="Q6" s="140"/>
      <c r="R6" s="144"/>
      <c r="S6" s="144"/>
      <c r="T6" s="144"/>
      <c r="U6" s="140"/>
      <c r="V6" s="140"/>
      <c r="W6" s="144"/>
      <c r="X6" s="144"/>
      <c r="Y6" s="144"/>
      <c r="Z6" s="140"/>
      <c r="AA6" s="140"/>
      <c r="AB6" s="144"/>
      <c r="AC6" s="144"/>
      <c r="AD6" s="144"/>
      <c r="AE6" s="140"/>
      <c r="AF6" s="140"/>
      <c r="AG6" s="144"/>
      <c r="AH6" s="144"/>
      <c r="AI6" s="144"/>
      <c r="AJ6" s="140"/>
      <c r="AK6" s="126"/>
    </row>
    <row r="7" spans="2:37" s="109" customFormat="1" ht="13" customHeight="1" x14ac:dyDescent="0.3">
      <c r="B7" s="132"/>
      <c r="C7" s="108" t="str">
        <f>IF(ISNA(VLOOKUP(D7,TAB_FERIES,4,FALSE)),"",VLOOKUP(D7,TAB_FERIES,4,FALSE))</f>
        <v/>
      </c>
      <c r="D7" s="539">
        <f>I7-1</f>
        <v>44529</v>
      </c>
      <c r="E7" s="145" t="str">
        <f>IF(MONTH(D7)&lt;&gt;MONTH($AH$7),"",CONCATENATE("S ",INT((9+D7-MOD(D7-2,7)-DATE(YEAR(3+D7-MOD(D7-2,7)),1,))/7)))</f>
        <v/>
      </c>
      <c r="F7" s="146" t="str">
        <f>IF(MONTH(D7)&lt;&gt;MONTH($AH$7),"",D7-DATE(YEAR(D7),1,0))</f>
        <v/>
      </c>
      <c r="G7" s="141"/>
      <c r="H7" s="108" t="str">
        <f>IF(ISNA(VLOOKUP(I7,TAB_FERIES,4,FALSE)),"",VLOOKUP(I7,TAB_FERIES,4,FALSE))</f>
        <v/>
      </c>
      <c r="I7" s="539">
        <f>N7-1</f>
        <v>44530</v>
      </c>
      <c r="J7" s="145" t="str">
        <f>IF(MONTH(I7)&lt;&gt;MONTH($AH$7),"",CONCATENATE("S ",INT((9+I7-MOD(I7-2,7)-DATE(YEAR(3+I7-MOD(I7-2,7)),1,))/7)))</f>
        <v/>
      </c>
      <c r="K7" s="146" t="str">
        <f>IF(MONTH(I7)&lt;&gt;MONTH($AH$7),"",I7-DATE(YEAR(I7),1,0))</f>
        <v/>
      </c>
      <c r="L7" s="141"/>
      <c r="M7" s="108" t="str">
        <f>IF(ISNA(VLOOKUP(N7,TAB_FERIES,4,FALSE)),"",VLOOKUP(N7,TAB_FERIES,4,FALSE))</f>
        <v/>
      </c>
      <c r="N7" s="539">
        <f>S7-1</f>
        <v>44531</v>
      </c>
      <c r="O7" s="145" t="str">
        <f>IF(MONTH(N7)&lt;&gt;MONTH($AH$7),"",CONCATENATE("S ",INT((9+N7-MOD(N7-2,7)-DATE(YEAR(3+N7-MOD(N7-2,7)),1,))/7)))</f>
        <v>S 48</v>
      </c>
      <c r="P7" s="146">
        <f>IF(MONTH(N7)&lt;&gt;MONTH($AH$7),"",N7-DATE(YEAR(N7),1,0))</f>
        <v>335</v>
      </c>
      <c r="Q7" s="141"/>
      <c r="R7" s="108" t="str">
        <f>IF(ISNA(VLOOKUP(S7,TAB_FERIES,4,FALSE)),"",VLOOKUP(S7,TAB_FERIES,4,FALSE))</f>
        <v/>
      </c>
      <c r="S7" s="539">
        <f>X7-1</f>
        <v>44532</v>
      </c>
      <c r="T7" s="145" t="str">
        <f>IF(MONTH(S7)&lt;&gt;$AH$7,"",CONCATENATE("S ",INT((9+S7-MOD(S7-2,7)-DATE(YEAR(3+S7-MOD(S7-2,7)),1,))/7)))</f>
        <v/>
      </c>
      <c r="U7" s="146">
        <f>IF(MONTH(S7)&lt;&gt;MONTH($AH$7),"",S7-DATE(YEAR(S7),1,0))</f>
        <v>336</v>
      </c>
      <c r="V7" s="141"/>
      <c r="W7" s="106" t="str">
        <f>IF(ISNA(VLOOKUP(X7,TAB_FERIES,4,FALSE)),"",VLOOKUP(X7,TAB_FERIES,4,FALSE))</f>
        <v/>
      </c>
      <c r="X7" s="539">
        <f>AC7-1</f>
        <v>44533</v>
      </c>
      <c r="Y7" s="145" t="str">
        <f>IF(MONTH(X7)&lt;&gt;MONTH($AH$7),"",CONCATENATE("S ",INT((9+X7-MOD(X7-2,7)-DATE(YEAR(3+X7-MOD(X7-2,7)),1,))/7)))</f>
        <v>S 48</v>
      </c>
      <c r="Z7" s="146">
        <f>IF(MONTH(X7)&lt;&gt;MONTH($AH$7),"",X7-DATE(YEAR(X7),1,0))</f>
        <v>337</v>
      </c>
      <c r="AA7" s="141"/>
      <c r="AB7" s="108" t="str">
        <f>IF(ISNA(VLOOKUP(AC7,TAB_FERIES,4,FALSE)),"",VLOOKUP(AC7,TAB_FERIES,4,FALSE))</f>
        <v/>
      </c>
      <c r="AC7" s="539">
        <f>AH7-1</f>
        <v>44534</v>
      </c>
      <c r="AD7" s="145" t="str">
        <f>IF(MONTH(AC7)&lt;&gt;MONTH($AH$7),"",CONCATENATE("S ",INT((9+AC7-MOD(AC7-2,7)-DATE(YEAR(3+AC7-MOD(AC7-2,7)),1,))/7)))</f>
        <v>S 48</v>
      </c>
      <c r="AE7" s="146">
        <f>IF(MONTH(AC7)&lt;&gt;MONTH($AH$7),"",AC7-DATE(YEAR(AC7),1,0))</f>
        <v>338</v>
      </c>
      <c r="AF7" s="141"/>
      <c r="AG7" s="108" t="str">
        <f>IF(ISNA(VLOOKUP(AH7,TAB_FERIES,4,FALSE)),"",VLOOKUP(AH7,TAB_FERIES,4,FALSE))</f>
        <v/>
      </c>
      <c r="AH7" s="539">
        <f>DATE(+Ref_Annee,Ref_Mois+$J$3-1,1)+7-WEEKDAY(DATE(+Ref_Annee,Ref_Mois+$J$3-1,1)-1)</f>
        <v>44535</v>
      </c>
      <c r="AI7" s="145" t="str">
        <f>IF(MONTH(AH7)&lt;&gt;MONTH($AH$7),"",CONCATENATE("S ",INT((9+AH7-MOD(AH7-2,7)-DATE(YEAR(3+AH7-MOD(AH7-2,7)),1,))/7)))</f>
        <v>S 48</v>
      </c>
      <c r="AJ7" s="146">
        <f>IF(MONTH(AH7)&lt;&gt;MONTH($AH$7),"",AH7-DATE(YEAR(AH7),1,0))</f>
        <v>339</v>
      </c>
      <c r="AK7" s="128"/>
    </row>
    <row r="8" spans="2:37" s="110" customFormat="1" ht="13" customHeight="1" x14ac:dyDescent="0.3">
      <c r="B8" s="133"/>
      <c r="C8" s="106"/>
      <c r="D8" s="540"/>
      <c r="E8" s="541" t="str">
        <f>IF(MONTH(D7)&lt;&gt;MONTH($AH$7),"",IF(C7=0,"",IF(ISNA(VLOOKUP(D7,TAB_FERIES_PURS,3,FALSE)),"",VLOOKUP(D7,TAB_FERIES_PURS,3,FALSE))))</f>
        <v/>
      </c>
      <c r="F8" s="542"/>
      <c r="G8" s="142"/>
      <c r="H8" s="106"/>
      <c r="I8" s="540"/>
      <c r="J8" s="541" t="str">
        <f>IF(MONTH(I7)&lt;&gt;MONTH($AH$7),"",IF(H7=0,"",IF(ISNA(VLOOKUP(I7,TAB_FERIES_PURS,3,FALSE)),"",VLOOKUP(I7,TAB_FERIES_PURS,3,FALSE))))</f>
        <v/>
      </c>
      <c r="K8" s="542"/>
      <c r="L8" s="142"/>
      <c r="M8" s="106"/>
      <c r="N8" s="540"/>
      <c r="O8" s="541" t="str">
        <f>IF(MONTH(N7)&lt;&gt;MONTH($AH$7),"",IF(M7=0,"",IF(ISNA(VLOOKUP(N7,TAB_FERIES_PURS,3,FALSE)),"",VLOOKUP(N7,TAB_FERIES_PURS,3,FALSE))))</f>
        <v/>
      </c>
      <c r="P8" s="542"/>
      <c r="Q8" s="142"/>
      <c r="R8" s="106"/>
      <c r="S8" s="540"/>
      <c r="T8" s="541" t="str">
        <f>IF(MONTH(S7)&lt;&gt;MONTH($AH$7),"",IF(R7=0,"",IF(ISNA(VLOOKUP(S7,TAB_FERIES_PURS,3,FALSE)),"",VLOOKUP(S7,TAB_FERIES_PURS,3,FALSE))))</f>
        <v/>
      </c>
      <c r="U8" s="542"/>
      <c r="V8" s="142"/>
      <c r="W8" s="106"/>
      <c r="X8" s="540"/>
      <c r="Y8" s="541" t="str">
        <f>IF(MONTH(X7)&lt;&gt;MONTH($AH$7),"",IF(W7=0,"",IF(ISNA(VLOOKUP(X7,TAB_FERIES_PURS,3,FALSE)),"",VLOOKUP(X7,TAB_FERIES_PURS,3,FALSE))))</f>
        <v/>
      </c>
      <c r="Z8" s="542"/>
      <c r="AA8" s="142"/>
      <c r="AB8" s="106"/>
      <c r="AC8" s="540"/>
      <c r="AD8" s="541" t="str">
        <f>IF(MONTH(AC7)&lt;&gt;MONTH($AH$7),"",IF(AB7=0,"",IF(ISNA(VLOOKUP(AC7,TAB_FERIES_PURS,3,FALSE)),"",VLOOKUP(AC7,TAB_FERIES_PURS,3,FALSE))))</f>
        <v/>
      </c>
      <c r="AE8" s="542"/>
      <c r="AF8" s="142"/>
      <c r="AG8" s="106"/>
      <c r="AH8" s="540"/>
      <c r="AI8" s="541" t="str">
        <f>IF(MONTH(AH7)&lt;&gt;MONTH($AH$7),"",IF(AG7=0,"",IF(ISNA(VLOOKUP(AH7,TAB_FERIES_PURS,3,FALSE)),"",VLOOKUP(AH7,TAB_FERIES_PURS,3,FALSE))))</f>
        <v/>
      </c>
      <c r="AJ8" s="542"/>
      <c r="AK8" s="129"/>
    </row>
    <row r="9" spans="2:37" s="154" customFormat="1" x14ac:dyDescent="0.15">
      <c r="B9" s="150"/>
      <c r="C9" s="151"/>
      <c r="D9" s="165" t="str">
        <f>IF(MONTH(D7)&lt;&gt;$AH$7,"",IF(ISNA(VLOOKUP(D7,TAB_LUNE,2,FALSE)),"",VLOOKUP(D7,TAB_LUNE,2,FALSE)))</f>
        <v/>
      </c>
      <c r="E9" s="534" t="str">
        <f>IF(MONTH(D7)&lt;&gt;MONTH($AH$7),"",IF(ISNA(VLOOKUP(D7,TAB_TAB_SOLEIL,18,FALSE)),"",VLOOKUP(D7,TAB_SOLEIL,18,FALSE)))</f>
        <v/>
      </c>
      <c r="F9" s="535"/>
      <c r="G9" s="152"/>
      <c r="H9" s="151"/>
      <c r="I9" s="165" t="str">
        <f>IF(MONTH(I7)&lt;&gt;MONTH($AH$7),"",IF(ISNA(VLOOKUP(I7,TAB_LUNE,2,FALSE)),"",VLOOKUP(I7,TAB_LUNE,2,FALSE)))</f>
        <v/>
      </c>
      <c r="J9" s="534" t="str">
        <f>IF(MONTH(I7)&lt;&gt;MONTH($AH$7),"",IF(ISNA(VLOOKUP(I7,TAB_TAB_SOLEIL,18,FALSE)),"",VLOOKUP(I7,TAB_SOLEIL,18,FALSE)))</f>
        <v/>
      </c>
      <c r="K9" s="535"/>
      <c r="L9" s="152"/>
      <c r="M9" s="151"/>
      <c r="N9" s="165" t="str">
        <f>IF(MONTH(N7)&lt;&gt;MONTH($AH$7),"",IF(ISNA(VLOOKUP(N7,TAB_LUNE,2,FALSE)),"",VLOOKUP(N7,TAB_LUNE,2,FALSE)))</f>
        <v/>
      </c>
      <c r="O9" s="534" t="str">
        <f>IF(MONTH(N7)&lt;&gt;MONTH($AH$7),"",IF(ISNA(VLOOKUP(N7,TAB_TAB_SOLEIL,18,FALSE)),"",VLOOKUP(N7,TAB_SOLEIL,18,FALSE)))</f>
        <v>🌞 ➚ 08:23 ➘ 16:57</v>
      </c>
      <c r="P9" s="535"/>
      <c r="Q9" s="152"/>
      <c r="R9" s="151"/>
      <c r="S9" s="165" t="str">
        <f>IF(MONTH(S7)&lt;&gt;MONTH($AH$7),"",IF(ISNA(VLOOKUP(S7,TAB_LUNE,2,FALSE)),"",VLOOKUP(S7,TAB_LUNE,2,FALSE)))</f>
        <v/>
      </c>
      <c r="T9" s="534" t="str">
        <f>IF(MONTH(S7)&lt;&gt;MONTH($AH$7),"",IF(ISNA(VLOOKUP(S7,TAB_TAB_SOLEIL,18,FALSE)),"",VLOOKUP(S7,TAB_SOLEIL,18,FALSE)))</f>
        <v>🌞 ➚ 08:24 ➘ 16:56</v>
      </c>
      <c r="U9" s="535"/>
      <c r="V9" s="152"/>
      <c r="W9" s="151"/>
      <c r="X9" s="165" t="str">
        <f>IF(MONTH(X7)&lt;&gt;MONTH($AH$7),"",IF(ISNA(VLOOKUP(X7,TAB_LUNE,2,FALSE)),"",VLOOKUP(X7,TAB_LUNE,2,FALSE)))</f>
        <v/>
      </c>
      <c r="Y9" s="534" t="str">
        <f>IF(MONTH(X7)&lt;&gt;MONTH($AH$7),"",IF(ISNA(VLOOKUP(X7,TAB_TAB_SOLEIL,18,FALSE)),"",VLOOKUP(X7,TAB_SOLEIL,18,FALSE)))</f>
        <v>🌞 ➚ 08:25 ➘ 16:56</v>
      </c>
      <c r="Z9" s="535"/>
      <c r="AA9" s="152"/>
      <c r="AB9" s="151"/>
      <c r="AC9" s="165" t="str">
        <f>IF(MONTH(AC7)&lt;&gt;MONTH($AH$7),"",IF(ISNA(VLOOKUP(AC7,TAB_LUNE,2,FALSE)),"",VLOOKUP(AC7,TAB_LUNE,2,FALSE)))</f>
        <v>🌑</v>
      </c>
      <c r="AD9" s="534" t="str">
        <f>IF(MONTH(AC7)&lt;&gt;MONTH($AH$7),"",IF(ISNA(VLOOKUP(AC7,TAB_TAB_SOLEIL,18,FALSE)),"",VLOOKUP(AC7,TAB_SOLEIL,18,FALSE)))</f>
        <v>🌞 ➚ 08:26 ➘ 16:55</v>
      </c>
      <c r="AE9" s="535"/>
      <c r="AF9" s="152"/>
      <c r="AG9" s="151"/>
      <c r="AH9" s="165" t="str">
        <f>IF(MONTH(AH7)&lt;&gt;MONTH($AH$7),"",IF(ISNA(VLOOKUP(AH7,TAB_LUNE,2,FALSE)),"",VLOOKUP(AH7,TAB_LUNE,2,FALSE)))</f>
        <v/>
      </c>
      <c r="AI9" s="534" t="str">
        <f>IF(MONTH(AH7)&lt;&gt;MONTH($AH$7),"",IF(ISNA(VLOOKUP(AH7,TAB_TAB_SOLEIL,18,FALSE)),"",VLOOKUP(AH7,TAB_SOLEIL,18,FALSE)))</f>
        <v>🌞 ➚ 08:27 ➘ 16:55</v>
      </c>
      <c r="AJ9" s="535"/>
      <c r="AK9" s="153"/>
    </row>
    <row r="10" spans="2:37" s="154" customFormat="1" x14ac:dyDescent="0.15">
      <c r="B10" s="150"/>
      <c r="C10" s="151"/>
      <c r="D10" s="533" t="str">
        <f>IF(MONTH(D7)&lt;&gt;MONTH($AH$7),"",IF(ISNA(VLOOKUP(D7,TAB_EVENT_PERSO,3,FALSE)),"",VLOOKUP(D7,TAB_EVENT_PERSO,3,FALSE)))</f>
        <v/>
      </c>
      <c r="E10" s="534"/>
      <c r="F10" s="535"/>
      <c r="G10" s="152"/>
      <c r="H10" s="151"/>
      <c r="I10" s="533" t="str">
        <f>IF(MONTH(I7)&lt;&gt;MONTH($AH$7),"",IF(ISNA(VLOOKUP(I7,TAB_EVENT_PERSO,3,FALSE)),"",VLOOKUP(I7,TAB_EVENT_PERSO,3,FALSE)))</f>
        <v/>
      </c>
      <c r="J10" s="534"/>
      <c r="K10" s="535"/>
      <c r="L10" s="152"/>
      <c r="M10" s="151"/>
      <c r="N10" s="533" t="str">
        <f>IF(MONTH(N7)&lt;&gt;MONTH($AH$7),"",IF(ISNA(VLOOKUP(N7,TAB_EVENT_PERSO,3,FALSE)),"",VLOOKUP(N7,TAB_EVENT_PERSO,3,FALSE)))</f>
        <v/>
      </c>
      <c r="O10" s="534"/>
      <c r="P10" s="535"/>
      <c r="Q10" s="152"/>
      <c r="R10" s="151"/>
      <c r="S10" s="533" t="str">
        <f>IF(MONTH(S7)&lt;&gt;MONTH($AH$7),"",IF(ISNA(VLOOKUP(S7,TAB_EVENT_PERSO,3,FALSE)),"",VLOOKUP(S7,TAB_EVENT_PERSO,3,FALSE)))</f>
        <v/>
      </c>
      <c r="T10" s="534"/>
      <c r="U10" s="535"/>
      <c r="V10" s="152"/>
      <c r="W10" s="151"/>
      <c r="X10" s="533" t="str">
        <f>IF(MONTH(X7)&lt;&gt;MONTH($AH$7),"",IF(ISNA(VLOOKUP(X7,TAB_EVENT_PERSO,3,FALSE)),"",VLOOKUP(X7,TAB_EVENT_PERSO,3,FALSE)))</f>
        <v/>
      </c>
      <c r="Y10" s="534"/>
      <c r="Z10" s="535"/>
      <c r="AA10" s="152"/>
      <c r="AB10" s="151"/>
      <c r="AC10" s="533" t="str">
        <f>IF(MONTH(AC7)&lt;&gt;MONTH($AH$7),"",IF(ISNA(VLOOKUP(AC7,TAB_EVENT_PERSO,3,FALSE)),"",VLOOKUP(AC7,TAB_EVENT_PERSO,3,FALSE)))</f>
        <v/>
      </c>
      <c r="AD10" s="534"/>
      <c r="AE10" s="535"/>
      <c r="AF10" s="152"/>
      <c r="AG10" s="151"/>
      <c r="AH10" s="533" t="str">
        <f>IF(MONTH(AH7)&lt;&gt;MONTH($AH$7),"",IF(ISNA(VLOOKUP(AH7,TAB_EVENT_PERSO,3,FALSE)),"",VLOOKUP(AH7,TAB_EVENT_PERSO,3,FALSE)))</f>
        <v/>
      </c>
      <c r="AI10" s="534"/>
      <c r="AJ10" s="535"/>
      <c r="AK10" s="153"/>
    </row>
    <row r="11" spans="2:37" s="113" customFormat="1" ht="40" customHeight="1" thickBot="1" x14ac:dyDescent="0.2">
      <c r="B11" s="134"/>
      <c r="C11" s="111"/>
      <c r="D11" s="536" t="str">
        <f>IF(MONTH(D7)&lt;&gt;MONTH($AH$7),"",IF(Calculs!$P$3=FALSE,"",VLOOKUP(DATE(,MONTH(D7),DAY(D7)),TAB_SAINTS,5,FALSE)))</f>
        <v/>
      </c>
      <c r="E11" s="537"/>
      <c r="F11" s="538"/>
      <c r="G11" s="143"/>
      <c r="H11" s="112"/>
      <c r="I11" s="536" t="str">
        <f>IF(MONTH(I7)&lt;&gt;MONTH($AH$7),"",IF(Calculs!$P$3=FALSE,"",VLOOKUP(DATE(,MONTH(I7),DAY(I7)),TAB_SAINTS,5,FALSE)))</f>
        <v/>
      </c>
      <c r="J11" s="537"/>
      <c r="K11" s="538"/>
      <c r="L11" s="143"/>
      <c r="M11" s="112"/>
      <c r="N11" s="536" t="str">
        <f>IF(MONTH(N7)&lt;&gt;MONTH($AH$7),"",IF(Calculs!$P$3=FALSE,"",VLOOKUP(DATE(,MONTH(N7),DAY(N7)),TAB_SAINTS,5,FALSE)))</f>
        <v>🍻 Éloi, Florence</v>
      </c>
      <c r="O11" s="537"/>
      <c r="P11" s="538"/>
      <c r="Q11" s="143"/>
      <c r="R11" s="112"/>
      <c r="S11" s="536" t="str">
        <f>IF(MONTH(S7)&lt;&gt;MONTH($AH$7),"",IF(Calculs!$P$3=FALSE,"",VLOOKUP(DATE(,MONTH(S7),DAY(S7)),TAB_SAINTS,5,FALSE)))</f>
        <v>🍻 Viviane</v>
      </c>
      <c r="T11" s="537"/>
      <c r="U11" s="538"/>
      <c r="V11" s="143"/>
      <c r="W11" s="112"/>
      <c r="X11" s="536" t="str">
        <f>IF(MONTH(X7)&lt;&gt;MONTH($AH$7),"",IF(Calculs!$P$3=FALSE,"",VLOOKUP(DATE(,MONTH(X7),DAY(X7)),TAB_SAINTS,5,FALSE)))</f>
        <v>🍻 Xavier</v>
      </c>
      <c r="Y11" s="537"/>
      <c r="Z11" s="538"/>
      <c r="AA11" s="143"/>
      <c r="AB11" s="112"/>
      <c r="AC11" s="536" t="str">
        <f>IF(MONTH(AC7)&lt;&gt;MONTH($AH$7),"",IF(Calculs!$P$3=FALSE,"",VLOOKUP(DATE(,MONTH(AC7),DAY(AC7)),TAB_SAINTS,5,FALSE)))</f>
        <v>🍻 Barbara, Barbe</v>
      </c>
      <c r="AD11" s="537"/>
      <c r="AE11" s="538"/>
      <c r="AF11" s="143"/>
      <c r="AG11" s="112"/>
      <c r="AH11" s="536" t="str">
        <f>IF(MONTH(AH7)&lt;&gt;MONTH($AH$7),"",IF(Calculs!$P$3=FALSE,"",VLOOKUP(DATE(,MONTH(AH7),DAY(AH7)),TAB_SAINTS,5,FALSE)))</f>
        <v>🍻 Gérald, Gérard</v>
      </c>
      <c r="AI11" s="537"/>
      <c r="AJ11" s="538"/>
      <c r="AK11" s="130"/>
    </row>
    <row r="12" spans="2:37" ht="13" customHeight="1" x14ac:dyDescent="0.15">
      <c r="B12" s="119"/>
      <c r="C12" s="120"/>
      <c r="D12" s="120"/>
      <c r="E12" s="120"/>
      <c r="F12" s="138"/>
      <c r="G12" s="138"/>
      <c r="H12" s="139"/>
      <c r="I12" s="139"/>
      <c r="J12" s="139"/>
      <c r="K12" s="138"/>
      <c r="L12" s="138"/>
      <c r="M12" s="139"/>
      <c r="N12" s="139"/>
      <c r="O12" s="139"/>
      <c r="P12" s="138"/>
      <c r="Q12" s="138"/>
      <c r="R12" s="139"/>
      <c r="S12" s="139"/>
      <c r="T12" s="139"/>
      <c r="U12" s="138"/>
      <c r="V12" s="138"/>
      <c r="W12" s="139"/>
      <c r="X12" s="139"/>
      <c r="Y12" s="139"/>
      <c r="Z12" s="138"/>
      <c r="AA12" s="138"/>
      <c r="AB12" s="139"/>
      <c r="AC12" s="139"/>
      <c r="AD12" s="139"/>
      <c r="AE12" s="138"/>
      <c r="AF12" s="138"/>
      <c r="AG12" s="139"/>
      <c r="AH12" s="139"/>
      <c r="AI12" s="139"/>
      <c r="AJ12" s="138"/>
      <c r="AK12" s="126"/>
    </row>
    <row r="13" spans="2:37" s="109" customFormat="1" ht="13" customHeight="1" x14ac:dyDescent="0.3">
      <c r="B13" s="132"/>
      <c r="C13" s="108" t="str">
        <f>IF(ISNA(VLOOKUP(D13,TAB_FERIES,4,FALSE)),"",VLOOKUP(D13,TAB_FERIES,4,FALSE))</f>
        <v/>
      </c>
      <c r="D13" s="539">
        <f>I13-1</f>
        <v>44536</v>
      </c>
      <c r="E13" s="145" t="str">
        <f>IF(MONTH(D13)&lt;&gt;MONTH($AH$7),"",CONCATENATE("S ",INT((9+D13-MOD(D13-2,7)-DATE(YEAR(3+D13-MOD(D13-2,7)),1,))/7)))</f>
        <v>S 49</v>
      </c>
      <c r="F13" s="146">
        <f>IF(MONTH(D13)&lt;&gt;MONTH($AH$7),"",D13-DATE(YEAR(D13),1,0))</f>
        <v>340</v>
      </c>
      <c r="G13" s="141"/>
      <c r="H13" s="108" t="str">
        <f>IF(ISNA(VLOOKUP(I13,TAB_FERIES_PURS,4,FALSE)),"",VLOOKUP(I13,TAB_FERIES_PURS,4,FALSE))</f>
        <v/>
      </c>
      <c r="I13" s="539">
        <f>N13-1</f>
        <v>44537</v>
      </c>
      <c r="J13" s="145" t="str">
        <f>IF(MONTH(I13)&lt;&gt;MONTH($AH$7),"",CONCATENATE("S ",INT((9+I13-MOD(I13-2,7)-DATE(YEAR(3+I13-MOD(I13-2,7)),1,))/7)))</f>
        <v>S 49</v>
      </c>
      <c r="K13" s="146">
        <f>IF(MONTH(I13)&lt;&gt;MONTH($AH$7),"",I13-DATE(YEAR(I13),1,0))</f>
        <v>341</v>
      </c>
      <c r="L13" s="141"/>
      <c r="M13" s="108" t="str">
        <f>IF(ISNA(VLOOKUP(N13,TAB_FERIES_PURS,4,FALSE)),"",VLOOKUP(N13,TAB_FERIES_PURS,4,FALSE))</f>
        <v/>
      </c>
      <c r="N13" s="539">
        <f>S13-1</f>
        <v>44538</v>
      </c>
      <c r="O13" s="145" t="str">
        <f>IF(MONTH(N13)&lt;&gt;MONTH($AH$7),"",CONCATENATE("S ",INT((9+N13-MOD(N13-2,7)-DATE(YEAR(3+N13-MOD(N13-2,7)),1,))/7)))</f>
        <v>S 49</v>
      </c>
      <c r="P13" s="146">
        <f>IF(MONTH(N13)&lt;&gt;MONTH($AH$7),"",N13-DATE(YEAR(N13),1,0))</f>
        <v>342</v>
      </c>
      <c r="Q13" s="141"/>
      <c r="R13" s="108" t="str">
        <f>IF(ISNA(VLOOKUP(S13,TAB_FERIES_PURS,4,FALSE)),"",VLOOKUP(S13,TAB_FERIES_PURS,4,FALSE))</f>
        <v/>
      </c>
      <c r="S13" s="539">
        <f>X13-1</f>
        <v>44539</v>
      </c>
      <c r="T13" s="145" t="str">
        <f>IF(MONTH(S13)&lt;&gt;MONTH($AH$7),"",CONCATENATE("S ",INT((9+S13-MOD(S13-2,7)-DATE(YEAR(3+S13-MOD(S13-2,7)),1,))/7)))</f>
        <v>S 49</v>
      </c>
      <c r="U13" s="146">
        <f>IF(MONTH(S13)&lt;&gt;MONTH($AH$7),"",S13-DATE(YEAR(S13),1,0))</f>
        <v>343</v>
      </c>
      <c r="V13" s="141"/>
      <c r="W13" s="108" t="str">
        <f>IF(ISNA(VLOOKUP(X13,TAB_FERIES_PURS,4,FALSE)),"",VLOOKUP(X13,TAB_FERIES_PURS,4,FALSE))</f>
        <v/>
      </c>
      <c r="X13" s="539">
        <f>AC13-1</f>
        <v>44540</v>
      </c>
      <c r="Y13" s="145" t="str">
        <f>IF(MONTH(X13)&lt;&gt;MONTH($AH$7),"",CONCATENATE("S ",INT((9+X13-MOD(X13-2,7)-DATE(YEAR(3+X13-MOD(X13-2,7)),1,))/7)))</f>
        <v>S 49</v>
      </c>
      <c r="Z13" s="146">
        <f>IF(MONTH(X13)&lt;&gt;MONTH($AH$7),"",X13-DATE(YEAR(X13),1,0))</f>
        <v>344</v>
      </c>
      <c r="AA13" s="141"/>
      <c r="AB13" s="108" t="str">
        <f>IF(ISNA(VLOOKUP(AC13,TAB_FERIES_PURS,4,FALSE)),"",VLOOKUP(AC13,TAB_FERIES_PURS,4,FALSE))</f>
        <v/>
      </c>
      <c r="AC13" s="539">
        <f>AH13-1</f>
        <v>44541</v>
      </c>
      <c r="AD13" s="145" t="str">
        <f>IF(MONTH(AC13)&lt;&gt;MONTH($AH$7),"",CONCATENATE("S ",INT((9+AC13-MOD(AC13-2,7)-DATE(YEAR(3+AC13-MOD(AC13-2,7)),1,))/7)))</f>
        <v>S 49</v>
      </c>
      <c r="AE13" s="146">
        <f>IF(MONTH(AC13)&lt;&gt;MONTH($AH$7),"",AC13-DATE(YEAR(AC13),1,0))</f>
        <v>345</v>
      </c>
      <c r="AF13" s="141"/>
      <c r="AG13" s="108" t="str">
        <f>IF(ISNA(VLOOKUP(AH13,TAB_FERIES_PURS,4,FALSE)),"",VLOOKUP(AH13,TAB_FERIES_PURS,4,FALSE))</f>
        <v/>
      </c>
      <c r="AH13" s="539">
        <f>AH7+7</f>
        <v>44542</v>
      </c>
      <c r="AI13" s="145" t="str">
        <f>IF(MONTH(AH13)&lt;&gt;MONTH($AH$7),"",CONCATENATE("S ",INT((9+AH13-MOD(AH13-2,7)-DATE(YEAR(3+AH13-MOD(AH13-2,7)),1,))/7)))</f>
        <v>S 49</v>
      </c>
      <c r="AJ13" s="146">
        <f>IF(MONTH(AH13)&lt;&gt;MONTH($AH$7),"",AH13-DATE(YEAR(AH13),1,0))</f>
        <v>346</v>
      </c>
      <c r="AK13" s="128"/>
    </row>
    <row r="14" spans="2:37" s="110" customFormat="1" ht="13" customHeight="1" x14ac:dyDescent="0.3">
      <c r="B14" s="133"/>
      <c r="C14" s="106"/>
      <c r="D14" s="540"/>
      <c r="E14" s="541" t="str">
        <f>IF(MONTH(D13)&lt;&gt;MONTH($AH$7),"",IF(C13=0,"",IF(ISNA(VLOOKUP(D13,TAB_FERIES_PURS,3,FALSE)),"",VLOOKUP(D13,TAB_FERIES_PURS,3,FALSE))))</f>
        <v/>
      </c>
      <c r="F14" s="542"/>
      <c r="G14" s="142"/>
      <c r="H14" s="106"/>
      <c r="I14" s="540"/>
      <c r="J14" s="541" t="str">
        <f>IF(MONTH(I13)&lt;&gt;MONTH($AH$7),"",IF(H13=0,"",IF(ISNA(VLOOKUP(I13,TAB_FERIES_PURS,3,FALSE)),"",VLOOKUP(I13,TAB_FERIES_PURS,3,FALSE))))</f>
        <v/>
      </c>
      <c r="K14" s="542"/>
      <c r="L14" s="142"/>
      <c r="M14" s="114"/>
      <c r="N14" s="540"/>
      <c r="O14" s="541" t="str">
        <f>IF(MONTH(N13)&lt;&gt;MONTH($AH$7),"",IF(M13=0,"",IF(ISNA(VLOOKUP(N13,TAB_FERIES_PURS,3,FALSE)),"",VLOOKUP(N13,TAB_FERIES_PURS,3,FALSE))))</f>
        <v/>
      </c>
      <c r="P14" s="542"/>
      <c r="Q14" s="142"/>
      <c r="R14" s="106"/>
      <c r="S14" s="540"/>
      <c r="T14" s="541" t="str">
        <f>IF(MONTH(S13)&lt;&gt;MONTH($AH$7),"",IF(R13=0,"",IF(ISNA(VLOOKUP(S13,TAB_FERIES_PURS,3,FALSE)),"",VLOOKUP(S13,TAB_FERIES_PURS,3,FALSE))))</f>
        <v/>
      </c>
      <c r="U14" s="542"/>
      <c r="V14" s="142"/>
      <c r="W14" s="106"/>
      <c r="X14" s="540"/>
      <c r="Y14" s="541" t="str">
        <f>IF(MONTH(X13)&lt;&gt;MONTH($AH$7),"",IF(W13=0,"",IF(ISNA(VLOOKUP(X13,TAB_FERIES_PURS,3,FALSE)),"",VLOOKUP(X13,TAB_FERIES_PURS,3,FALSE))))</f>
        <v/>
      </c>
      <c r="Z14" s="542"/>
      <c r="AA14" s="142"/>
      <c r="AB14" s="106"/>
      <c r="AC14" s="540"/>
      <c r="AD14" s="541" t="str">
        <f>IF(MONTH(AC13)&lt;&gt;MONTH($AH$7),"",IF(AB13=0,"",IF(ISNA(VLOOKUP(AC13,TAB_FERIES_PURS,3,FALSE)),"",VLOOKUP(AC13,TAB_FERIES_PURS,3,FALSE))))</f>
        <v/>
      </c>
      <c r="AE14" s="542"/>
      <c r="AF14" s="142"/>
      <c r="AG14" s="106"/>
      <c r="AH14" s="540"/>
      <c r="AI14" s="541" t="str">
        <f>IF(MONTH(AH13)&lt;&gt;MONTH($AH$7),"",IF(AG13=0,"",IF(ISNA(VLOOKUP(AH13,TAB_FERIES_PURS,3,FALSE)),"",VLOOKUP(AH13,TAB_FERIES_PURS,3,FALSE))))</f>
        <v/>
      </c>
      <c r="AJ14" s="542"/>
      <c r="AK14" s="129"/>
    </row>
    <row r="15" spans="2:37" s="158" customFormat="1" x14ac:dyDescent="0.15">
      <c r="B15" s="155"/>
      <c r="C15" s="156"/>
      <c r="D15" s="165" t="str">
        <f>IF(MONTH(D13)&lt;&gt;MONTH($AH$7),"",IF(ISNA(VLOOKUP(D13,TAB_LUNE,2,FALSE)),"",VLOOKUP(D13,TAB_LUNE,2,FALSE)))</f>
        <v/>
      </c>
      <c r="E15" s="534" t="str">
        <f>IF(MONTH(D13)&lt;&gt;MONTH($AH$7),"",IF(ISNA(VLOOKUP(D13,TAB_TAB_SOLEIL,18,FALSE)),"",VLOOKUP(D13,TAB_SOLEIL,18,FALSE)))</f>
        <v>🌞 ➚ 08:29 ➘ 16:55</v>
      </c>
      <c r="F15" s="535"/>
      <c r="G15" s="48"/>
      <c r="H15" s="156"/>
      <c r="I15" s="165" t="str">
        <f>IF(MONTH(I13)&lt;&gt;MONTH($AH$7),"",IF(ISNA(VLOOKUP(I13,TAB_LUNE,2,FALSE)),"",VLOOKUP(I13,TAB_LUNE,2,FALSE)))</f>
        <v/>
      </c>
      <c r="J15" s="534" t="str">
        <f>IF(MONTH(I13)&lt;&gt;MONTH($AH$7),"",IF(ISNA(VLOOKUP(I13,TAB_TAB_SOLEIL,18,FALSE)),"",VLOOKUP(I13,TAB_SOLEIL,18,FALSE)))</f>
        <v>🌞 ➚ 08:30 ➘ 16:54</v>
      </c>
      <c r="K15" s="535"/>
      <c r="L15" s="48"/>
      <c r="M15" s="156"/>
      <c r="N15" s="165" t="str">
        <f>IF(MONTH(N13)&lt;&gt;MONTH($AH$7),"",IF(ISNA(VLOOKUP(N13,TAB_LUNE,2,FALSE)),"",VLOOKUP(N13,TAB_LUNE,2,FALSE)))</f>
        <v/>
      </c>
      <c r="O15" s="534" t="str">
        <f>IF(MONTH(N13)&lt;&gt;MONTH($AH$7),"",IF(ISNA(VLOOKUP(N13,TAB_TAB_SOLEIL,18,FALSE)),"",VLOOKUP(N13,TAB_SOLEIL,18,FALSE)))</f>
        <v>🌞 ➚ 08:31 ➘ 16:54</v>
      </c>
      <c r="P15" s="535"/>
      <c r="Q15" s="48"/>
      <c r="R15" s="156"/>
      <c r="S15" s="165" t="str">
        <f>IF(MONTH(S13)&lt;&gt;MONTH($AH$7),"",IF(ISNA(VLOOKUP(S13,TAB_LUNE,2,FALSE)),"",VLOOKUP(S13,TAB_LUNE,2,FALSE)))</f>
        <v/>
      </c>
      <c r="T15" s="534" t="str">
        <f>IF(MONTH(S13)&lt;&gt;MONTH($AH$7),"",IF(ISNA(VLOOKUP(S13,TAB_TAB_SOLEIL,18,FALSE)),"",VLOOKUP(S13,TAB_SOLEIL,18,FALSE)))</f>
        <v>🌞 ➚ 08:32 ➘ 16:54</v>
      </c>
      <c r="U15" s="535"/>
      <c r="V15" s="48"/>
      <c r="W15" s="156"/>
      <c r="X15" s="165" t="str">
        <f>IF(MONTH(X13)&lt;&gt;MONTH($AH$7),"",IF(ISNA(VLOOKUP(X13,TAB_LUNE,2,FALSE)),"",VLOOKUP(X13,TAB_LUNE,2,FALSE)))</f>
        <v/>
      </c>
      <c r="Y15" s="534" t="str">
        <f>IF(MONTH(X13)&lt;&gt;MONTH($AH$7),"",IF(ISNA(VLOOKUP(X13,TAB_TAB_SOLEIL,18,FALSE)),"",VLOOKUP(X13,TAB_SOLEIL,18,FALSE)))</f>
        <v>🌞 ➚ 08:33 ➘ 16:54</v>
      </c>
      <c r="Z15" s="535"/>
      <c r="AA15" s="48"/>
      <c r="AB15" s="156"/>
      <c r="AC15" s="165" t="str">
        <f>IF(MONTH(AC13)&lt;&gt;MONTH($AH$7),"",IF(ISNA(VLOOKUP(AC13,TAB_LUNE,2,FALSE)),"",VLOOKUP(AC13,TAB_LUNE,2,FALSE)))</f>
        <v>🌓</v>
      </c>
      <c r="AD15" s="534" t="str">
        <f>IF(MONTH(AC13)&lt;&gt;MONTH($AH$7),"",IF(ISNA(VLOOKUP(AC13,TAB_TAB_SOLEIL,18,FALSE)),"",VLOOKUP(AC13,TAB_SOLEIL,18,FALSE)))</f>
        <v>🌞 ➚ 08:34 ➘ 16:54</v>
      </c>
      <c r="AE15" s="535"/>
      <c r="AF15" s="48"/>
      <c r="AG15" s="156"/>
      <c r="AH15" s="165" t="str">
        <f>IF(MONTH(AH13)&lt;&gt;MONTH($AH$7),"",IF(ISNA(VLOOKUP(AH13,TAB_LUNE,2,FALSE)),"",VLOOKUP(AH13,TAB_LUNE,2,FALSE)))</f>
        <v/>
      </c>
      <c r="AI15" s="534" t="str">
        <f>IF(MONTH(AH13)&lt;&gt;MONTH($AH$7),"",IF(ISNA(VLOOKUP(AH13,TAB_TAB_SOLEIL,18,FALSE)),"",VLOOKUP(AH13,TAB_SOLEIL,18,FALSE)))</f>
        <v>🌞 ➚ 08:35 ➘ 16:54</v>
      </c>
      <c r="AJ15" s="535"/>
      <c r="AK15" s="157"/>
    </row>
    <row r="16" spans="2:37" s="158" customFormat="1" x14ac:dyDescent="0.15">
      <c r="B16" s="155"/>
      <c r="C16" s="156"/>
      <c r="D16" s="533" t="str">
        <f>IF(MONTH(D13)&lt;&gt;MONTH($AH$7),"",IF(ISNA(VLOOKUP(D13,TAB_EVENT_PERSO,3,FALSE)),"",VLOOKUP(D13,TAB_EVENT_PERSO,3,FALSE)))</f>
        <v/>
      </c>
      <c r="E16" s="534"/>
      <c r="F16" s="535"/>
      <c r="G16" s="48"/>
      <c r="H16" s="156"/>
      <c r="I16" s="533" t="str">
        <f>IF(MONTH(I13)&lt;&gt;MONTH($AH$7),"",IF(ISNA(VLOOKUP(I13,TAB_EVENT_PERSO,3,FALSE)),"",VLOOKUP(I13,TAB_EVENT_PERSO,3,FALSE)))</f>
        <v/>
      </c>
      <c r="J16" s="534"/>
      <c r="K16" s="535"/>
      <c r="L16" s="48"/>
      <c r="M16" s="156"/>
      <c r="N16" s="533" t="str">
        <f>IF(MONTH(N13)&lt;&gt;MONTH($AH$7),"",IF(ISNA(VLOOKUP(N13,TAB_EVENT_PERSO,3,FALSE)),"",VLOOKUP(N13,TAB_EVENT_PERSO,3,FALSE)))</f>
        <v/>
      </c>
      <c r="O16" s="534"/>
      <c r="P16" s="535"/>
      <c r="Q16" s="48"/>
      <c r="R16" s="156"/>
      <c r="S16" s="533" t="str">
        <f>IF(MONTH(S13)&lt;&gt;MONTH($AH$7),"",IF(ISNA(VLOOKUP(S13,TAB_EVENT_PERSO,3,FALSE)),"",VLOOKUP(S13,TAB_EVENT_PERSO,3,FALSE)))</f>
        <v/>
      </c>
      <c r="T16" s="534"/>
      <c r="U16" s="535"/>
      <c r="V16" s="48"/>
      <c r="W16" s="156"/>
      <c r="X16" s="533" t="str">
        <f>IF(MONTH(X13)&lt;&gt;MONTH($AH$7),"",IF(ISNA(VLOOKUP(X13,TAB_EVENT_PERSO,3,FALSE)),"",VLOOKUP(X13,TAB_EVENT_PERSO,3,FALSE)))</f>
        <v/>
      </c>
      <c r="Y16" s="534"/>
      <c r="Z16" s="535"/>
      <c r="AA16" s="48"/>
      <c r="AB16" s="156"/>
      <c r="AC16" s="533" t="str">
        <f>IF(MONTH(AC13)&lt;&gt;MONTH($AH$7),"",IF(ISNA(VLOOKUP(AC13,TAB_EVENT_PERSO,3,FALSE)),"",VLOOKUP(AC13,TAB_EVENT_PERSO,3,FALSE)))</f>
        <v/>
      </c>
      <c r="AD16" s="534"/>
      <c r="AE16" s="535"/>
      <c r="AF16" s="48"/>
      <c r="AG16" s="156"/>
      <c r="AH16" s="533" t="str">
        <f>IF(MONTH(AH13)&lt;&gt;MONTH($AH$7),"",IF(ISNA(VLOOKUP(AH13,TAB_EVENT_PERSO,3,FALSE)),"",VLOOKUP(AH13,TAB_EVENT_PERSO,3,FALSE)))</f>
        <v/>
      </c>
      <c r="AI16" s="534"/>
      <c r="AJ16" s="535"/>
      <c r="AK16" s="157"/>
    </row>
    <row r="17" spans="2:37" s="113" customFormat="1" ht="40" customHeight="1" thickBot="1" x14ac:dyDescent="0.2">
      <c r="B17" s="134"/>
      <c r="C17" s="111"/>
      <c r="D17" s="536" t="str">
        <f>IF(MONTH(D13)&lt;&gt;MONTH($AH$7),"",IF(Calculs!$P$3=FALSE,"",VLOOKUP(DATE(,MONTH(D13),DAY(D13)),TAB_SAINTS,5,FALSE)))</f>
        <v>🍻 Nicolas</v>
      </c>
      <c r="E17" s="537"/>
      <c r="F17" s="538"/>
      <c r="G17" s="143"/>
      <c r="H17" s="112"/>
      <c r="I17" s="536" t="str">
        <f>IF(MONTH(I13)&lt;&gt;MONTH($AH$7),"",IF(Calculs!$P$3=FALSE,"",VLOOKUP(DATE(,MONTH(I13),DAY(I13)),TAB_SAINTS,5,FALSE)))</f>
        <v>🍻 Ambroise</v>
      </c>
      <c r="J17" s="537"/>
      <c r="K17" s="538"/>
      <c r="L17" s="143"/>
      <c r="M17" s="112"/>
      <c r="N17" s="536" t="str">
        <f>IF(MONTH(N13)&lt;&gt;MONTH($AH$7),"",IF(Calculs!$P$3=FALSE,"",VLOOKUP(DATE(,MONTH(N13),DAY(N13)),TAB_SAINTS,5,FALSE)))</f>
        <v>🍻 Frida</v>
      </c>
      <c r="O17" s="537"/>
      <c r="P17" s="538"/>
      <c r="Q17" s="143"/>
      <c r="R17" s="112"/>
      <c r="S17" s="536" t="str">
        <f>IF(MONTH(S13)&lt;&gt;MONTH($AH$7),"",IF(Calculs!$P$3=FALSE,"",VLOOKUP(DATE(,MONTH(S13),DAY(S13)),TAB_SAINTS,5,FALSE)))</f>
        <v>🍻 Pierre Fourier</v>
      </c>
      <c r="T17" s="537"/>
      <c r="U17" s="538"/>
      <c r="V17" s="143"/>
      <c r="W17" s="112"/>
      <c r="X17" s="536" t="str">
        <f>IF(MONTH(X13)&lt;&gt;MONTH($AH$7),"",IF(Calculs!$P$3=FALSE,"",VLOOKUP(DATE(,MONTH(X13),DAY(X13)),TAB_SAINTS,5,FALSE)))</f>
        <v>🍻 Eulaire, Romaric</v>
      </c>
      <c r="Y17" s="537"/>
      <c r="Z17" s="538"/>
      <c r="AA17" s="143"/>
      <c r="AB17" s="112"/>
      <c r="AC17" s="536" t="str">
        <f>IF(MONTH(AC13)&lt;&gt;MONTH($AH$7),"",IF(Calculs!$P$3=FALSE,"",VLOOKUP(DATE(,MONTH(AC13),DAY(AC13)),TAB_SAINTS,5,FALSE)))</f>
        <v>🍻 Daniel</v>
      </c>
      <c r="AD17" s="537"/>
      <c r="AE17" s="538"/>
      <c r="AF17" s="143"/>
      <c r="AG17" s="112"/>
      <c r="AH17" s="536" t="str">
        <f>IF(MONTH(AH13)&lt;&gt;MONTH($AH$7),"",IF(Calculs!$P$3=FALSE,"",VLOOKUP(DATE(,MONTH(AH13),DAY(AH13)),TAB_SAINTS,5,FALSE)))</f>
        <v>🍻 Chantal, Constance, Corentin</v>
      </c>
      <c r="AI17" s="537"/>
      <c r="AJ17" s="538"/>
      <c r="AK17" s="130"/>
    </row>
    <row r="18" spans="2:37" ht="13" customHeight="1" x14ac:dyDescent="0.15">
      <c r="B18" s="119"/>
      <c r="C18" s="106"/>
      <c r="D18" s="120"/>
      <c r="E18" s="120"/>
      <c r="F18" s="138"/>
      <c r="G18" s="138"/>
      <c r="H18" s="139"/>
      <c r="I18" s="139"/>
      <c r="J18" s="139"/>
      <c r="K18" s="138"/>
      <c r="L18" s="138"/>
      <c r="M18" s="139"/>
      <c r="N18" s="139"/>
      <c r="O18" s="139"/>
      <c r="P18" s="138"/>
      <c r="Q18" s="138"/>
      <c r="R18" s="139"/>
      <c r="S18" s="139"/>
      <c r="T18" s="139"/>
      <c r="U18" s="138"/>
      <c r="V18" s="138"/>
      <c r="W18" s="139"/>
      <c r="X18" s="139"/>
      <c r="Y18" s="139"/>
      <c r="Z18" s="138"/>
      <c r="AA18" s="138"/>
      <c r="AB18" s="139"/>
      <c r="AC18" s="139"/>
      <c r="AD18" s="139"/>
      <c r="AE18" s="138"/>
      <c r="AF18" s="138"/>
      <c r="AG18" s="139"/>
      <c r="AH18" s="139"/>
      <c r="AI18" s="139"/>
      <c r="AJ18" s="138"/>
      <c r="AK18" s="126"/>
    </row>
    <row r="19" spans="2:37" s="109" customFormat="1" ht="13" customHeight="1" x14ac:dyDescent="0.3">
      <c r="B19" s="132"/>
      <c r="C19" s="108" t="str">
        <f>IF(ISNA(VLOOKUP(D19,TAB_FERIES,4,FALSE)),"",VLOOKUP(D19,TAB_FERIES,4,FALSE))</f>
        <v/>
      </c>
      <c r="D19" s="539">
        <f>I19-1</f>
        <v>44543</v>
      </c>
      <c r="E19" s="145" t="str">
        <f>IF(MONTH(D19)&lt;&gt;MONTH($AH$7),"",CONCATENATE("S ",INT((9+D19-MOD(D19-2,7)-DATE(YEAR(3+D19-MOD(D19-2,7)),1,))/7)))</f>
        <v>S 50</v>
      </c>
      <c r="F19" s="146">
        <f>IF(MONTH(D19)&lt;&gt;MONTH($AH$7),"",D19-DATE(YEAR(D19),1,0))</f>
        <v>347</v>
      </c>
      <c r="G19" s="141"/>
      <c r="H19" s="108" t="str">
        <f>IF(ISNA(VLOOKUP(I19,TAB_FERIES_PURS,4,FALSE)),"",VLOOKUP(I19,TAB_FERIES_PURS,4,FALSE))</f>
        <v/>
      </c>
      <c r="I19" s="539">
        <f>N19-1</f>
        <v>44544</v>
      </c>
      <c r="J19" s="145" t="str">
        <f>IF(MONTH(I19)&lt;&gt;MONTH($AH$7),"",CONCATENATE("S ",INT((9+I19-MOD(I19-2,7)-DATE(YEAR(3+I19-MOD(I19-2,7)),1,))/7)))</f>
        <v>S 50</v>
      </c>
      <c r="K19" s="146">
        <f>IF(MONTH(I19)&lt;&gt;MONTH($AH$7),"",I19-DATE(YEAR(I19),1,0))</f>
        <v>348</v>
      </c>
      <c r="L19" s="141"/>
      <c r="M19" s="108" t="str">
        <f>IF(ISNA(VLOOKUP(N19,TAB_FERIES_PURS,4,FALSE)),"",VLOOKUP(N19,TAB_FERIES_PURS,4,FALSE))</f>
        <v/>
      </c>
      <c r="N19" s="539">
        <f>S19-1</f>
        <v>44545</v>
      </c>
      <c r="O19" s="145" t="str">
        <f>IF(MONTH(N19)&lt;&gt;MONTH($AH$7),"",CONCATENATE("S ",INT((9+N19-MOD(N19-2,7)-DATE(YEAR(3+N19-MOD(N19-2,7)),1,))/7)))</f>
        <v>S 50</v>
      </c>
      <c r="P19" s="146">
        <f>IF(MONTH(N19)&lt;&gt;MONTH($AH$7),"",N19-DATE(YEAR(N19),1,0))</f>
        <v>349</v>
      </c>
      <c r="Q19" s="141"/>
      <c r="R19" s="108" t="str">
        <f>IF(ISNA(VLOOKUP(S19,TAB_FERIES_PURS,4,FALSE)),"",VLOOKUP(S19,TAB_FERIES_PURS,4,FALSE))</f>
        <v/>
      </c>
      <c r="S19" s="539">
        <f>X19-1</f>
        <v>44546</v>
      </c>
      <c r="T19" s="145" t="str">
        <f>IF(MONTH(S19)&lt;&gt;MONTH($AH$7),"",CONCATENATE("S ",INT((9+S19-MOD(S19-2,7)-DATE(YEAR(3+S19-MOD(S19-2,7)),1,))/7)))</f>
        <v>S 50</v>
      </c>
      <c r="U19" s="146">
        <f>IF(MONTH(S19)&lt;&gt;MONTH($AH$7),"",S19-DATE(YEAR(S19),1,0))</f>
        <v>350</v>
      </c>
      <c r="V19" s="141"/>
      <c r="W19" s="108" t="str">
        <f>IF(ISNA(VLOOKUP(X19,TAB_FERIES_PURS,4,FALSE)),"",VLOOKUP(X19,TAB_FERIES_PURS,4,FALSE))</f>
        <v/>
      </c>
      <c r="X19" s="539">
        <f>AC19-1</f>
        <v>44547</v>
      </c>
      <c r="Y19" s="145" t="str">
        <f>IF(MONTH(X19)&lt;&gt;MONTH($AH$7),"",CONCATENATE("S ",INT((9+X19-MOD(X19-2,7)-DATE(YEAR(3+X19-MOD(X19-2,7)),1,))/7)))</f>
        <v>S 50</v>
      </c>
      <c r="Z19" s="146">
        <f>IF(MONTH(X19)&lt;&gt;MONTH($AH$7),"",X19-DATE(YEAR(X19),1,0))</f>
        <v>351</v>
      </c>
      <c r="AA19" s="141"/>
      <c r="AB19" s="108" t="str">
        <f>IF(ISNA(VLOOKUP(AC19,TAB_FERIES_PURS,4,FALSE)),"",VLOOKUP(AC19,TAB_FERIES_PURS,4,FALSE))</f>
        <v/>
      </c>
      <c r="AC19" s="539">
        <f>AH19-1</f>
        <v>44548</v>
      </c>
      <c r="AD19" s="145" t="str">
        <f>IF(MONTH(AC19)&lt;&gt;MONTH($AH$7),"",CONCATENATE("S ",INT((9+AC19-MOD(AC19-2,7)-DATE(YEAR(3+AC19-MOD(AC19-2,7)),1,))/7)))</f>
        <v>S 50</v>
      </c>
      <c r="AE19" s="146">
        <f>IF(MONTH(AC19)&lt;&gt;MONTH($AH$7),"",AC19-DATE(YEAR(AC19),1,0))</f>
        <v>352</v>
      </c>
      <c r="AF19" s="141"/>
      <c r="AG19" s="108" t="str">
        <f>IF(ISNA(VLOOKUP(AH19,TAB_FERIES_PURS,4,FALSE)),"",VLOOKUP(AH19,TAB_FERIES_PURS,4,FALSE))</f>
        <v/>
      </c>
      <c r="AH19" s="539">
        <f>AH13+7</f>
        <v>44549</v>
      </c>
      <c r="AI19" s="145" t="str">
        <f>IF(MONTH(AH19)&lt;&gt;MONTH($AH$7),"",CONCATENATE("S ",INT((9+AH19-MOD(AH19-2,7)-DATE(YEAR(3+AH19-MOD(AH19-2,7)),1,))/7)))</f>
        <v>S 50</v>
      </c>
      <c r="AJ19" s="146">
        <f>IF(MONTH(AH19)&lt;&gt;MONTH($AH$7),"",AH19-DATE(YEAR(AH19),1,0))</f>
        <v>353</v>
      </c>
      <c r="AK19" s="128"/>
    </row>
    <row r="20" spans="2:37" s="110" customFormat="1" ht="13" customHeight="1" x14ac:dyDescent="0.3">
      <c r="B20" s="133"/>
      <c r="C20" s="106"/>
      <c r="D20" s="540"/>
      <c r="E20" s="541" t="str">
        <f>IF(MONTH(D19)&lt;&gt;MONTH($AH$7),"",IF(C19=0,"",IF(ISNA(VLOOKUP(D19,TAB_FERIES_PURS,3,FALSE)),"",VLOOKUP(D19,TAB_FERIES_PURS,3,FALSE))))</f>
        <v/>
      </c>
      <c r="F20" s="542"/>
      <c r="G20" s="142"/>
      <c r="H20" s="106"/>
      <c r="I20" s="540"/>
      <c r="J20" s="541" t="str">
        <f>IF(MONTH(I19)&lt;&gt;MONTH($AH$7),"",IF(H19=0,"",IF(ISNA(VLOOKUP(I19,TAB_FERIES_PURS,3,FALSE)),"",VLOOKUP(I19,TAB_FERIES_PURS,3,FALSE))))</f>
        <v/>
      </c>
      <c r="K20" s="542"/>
      <c r="L20" s="142"/>
      <c r="M20" s="106"/>
      <c r="N20" s="540"/>
      <c r="O20" s="541" t="str">
        <f>IF(MONTH(N19)&lt;&gt;MONTH($AH$7),"",IF(M19=0,"",IF(ISNA(VLOOKUP(N19,TAB_FERIES_PURS,3,FALSE)),"",VLOOKUP(N19,TAB_FERIES_PURS,3,FALSE))))</f>
        <v/>
      </c>
      <c r="P20" s="542"/>
      <c r="Q20" s="142"/>
      <c r="R20" s="106"/>
      <c r="S20" s="540"/>
      <c r="T20" s="541" t="str">
        <f>IF(MONTH(S19)&lt;&gt;MONTH($AH$7),"",IF(R19=0,"",IF(ISNA(VLOOKUP(S19,TAB_FERIES_PURS,3,FALSE)),"",VLOOKUP(S19,TAB_FERIES_PURS,3,FALSE))))</f>
        <v/>
      </c>
      <c r="U20" s="542"/>
      <c r="V20" s="142"/>
      <c r="W20" s="106"/>
      <c r="X20" s="540"/>
      <c r="Y20" s="541" t="str">
        <f>IF(MONTH(X19)&lt;&gt;MONTH($AH$7),"",IF(W19=0,"",IF(ISNA(VLOOKUP(X19,TAB_FERIES_PURS,3,FALSE)),"",VLOOKUP(X19,TAB_FERIES_PURS,3,FALSE))))</f>
        <v/>
      </c>
      <c r="Z20" s="542"/>
      <c r="AA20" s="142"/>
      <c r="AB20" s="106"/>
      <c r="AC20" s="540"/>
      <c r="AD20" s="541" t="str">
        <f>IF(MONTH(AC19)&lt;&gt;MONTH($AH$7),"",IF(AB19=0,"",IF(ISNA(VLOOKUP(AC19,TAB_FERIES_PURS,3,FALSE)),"",VLOOKUP(AC19,TAB_FERIES_PURS,3,FALSE))))</f>
        <v/>
      </c>
      <c r="AE20" s="542"/>
      <c r="AF20" s="142"/>
      <c r="AG20" s="106"/>
      <c r="AH20" s="540"/>
      <c r="AI20" s="541" t="str">
        <f>IF(MONTH(AH19)&lt;&gt;MONTH($AH$7),"",IF(AG19=0,"",IF(ISNA(VLOOKUP(AH19,TAB_FERIES_PURS,3,FALSE)),"",VLOOKUP(AH19,TAB_FERIES_PURS,3,FALSE))))</f>
        <v/>
      </c>
      <c r="AJ20" s="542"/>
      <c r="AK20" s="129"/>
    </row>
    <row r="21" spans="2:37" s="154" customFormat="1" x14ac:dyDescent="0.15">
      <c r="B21" s="150"/>
      <c r="C21" s="151"/>
      <c r="D21" s="165" t="str">
        <f>IF(MONTH(D19)&lt;&gt;MONTH($AH$7),"",IF(ISNA(VLOOKUP(D19,TAB_LUNE,2,FALSE)),"",VLOOKUP(D19,TAB_LUNE,2,FALSE)))</f>
        <v/>
      </c>
      <c r="E21" s="534" t="str">
        <f>IF(MONTH(D19)&lt;&gt;MONTH($AH$7),"",IF(ISNA(VLOOKUP(D19,TAB_TAB_SOLEIL,18,FALSE)),"",VLOOKUP(D19,TAB_SOLEIL,18,FALSE)))</f>
        <v>🌞 ➚ 08:36 ➘ 16:54</v>
      </c>
      <c r="F21" s="535"/>
      <c r="G21" s="152"/>
      <c r="H21" s="151"/>
      <c r="I21" s="165" t="str">
        <f>IF(MONTH(I19)&lt;&gt;MONTH($AH$7),"",IF(ISNA(VLOOKUP(I19,TAB_LUNE,2,FALSE)),"",VLOOKUP(I19,TAB_LUNE,2,FALSE)))</f>
        <v/>
      </c>
      <c r="J21" s="534" t="str">
        <f>IF(MONTH(I19)&lt;&gt;MONTH($AH$7),"",IF(ISNA(VLOOKUP(I19,TAB_TAB_SOLEIL,18,FALSE)),"",VLOOKUP(I19,TAB_SOLEIL,18,FALSE)))</f>
        <v>🌞 ➚ 08:37 ➘ 16:54</v>
      </c>
      <c r="K21" s="535"/>
      <c r="L21" s="152"/>
      <c r="M21" s="151"/>
      <c r="N21" s="165" t="str">
        <f>IF(MONTH(N19)&lt;&gt;MONTH($AH$7),"",IF(ISNA(VLOOKUP(N19,TAB_LUNE,2,FALSE)),"",VLOOKUP(N19,TAB_LUNE,2,FALSE)))</f>
        <v/>
      </c>
      <c r="O21" s="534" t="str">
        <f>IF(MONTH(N19)&lt;&gt;MONTH($AH$7),"",IF(ISNA(VLOOKUP(N19,TAB_TAB_SOLEIL,18,FALSE)),"",VLOOKUP(N19,TAB_SOLEIL,18,FALSE)))</f>
        <v>🌞 ➚ 08:37 ➘ 16:54</v>
      </c>
      <c r="P21" s="535"/>
      <c r="Q21" s="152"/>
      <c r="R21" s="151"/>
      <c r="S21" s="165" t="str">
        <f>IF(MONTH(S19)&lt;&gt;MONTH($AH$7),"",IF(ISNA(VLOOKUP(S19,TAB_LUNE,2,FALSE)),"",VLOOKUP(S19,TAB_LUNE,2,FALSE)))</f>
        <v/>
      </c>
      <c r="T21" s="534" t="str">
        <f>IF(MONTH(S19)&lt;&gt;MONTH($AH$7),"",IF(ISNA(VLOOKUP(S19,TAB_TAB_SOLEIL,18,FALSE)),"",VLOOKUP(S19,TAB_SOLEIL,18,FALSE)))</f>
        <v>🌞 ➚ 08:38 ➘ 16:54</v>
      </c>
      <c r="U21" s="535"/>
      <c r="V21" s="152"/>
      <c r="W21" s="151"/>
      <c r="X21" s="165" t="str">
        <f>IF(MONTH(X19)&lt;&gt;MONTH($AH$7),"",IF(ISNA(VLOOKUP(X19,TAB_LUNE,2,FALSE)),"",VLOOKUP(X19,TAB_LUNE,2,FALSE)))</f>
        <v/>
      </c>
      <c r="Y21" s="534" t="str">
        <f>IF(MONTH(X19)&lt;&gt;MONTH($AH$7),"",IF(ISNA(VLOOKUP(X19,TAB_TAB_SOLEIL,18,FALSE)),"",VLOOKUP(X19,TAB_SOLEIL,18,FALSE)))</f>
        <v>🌞 ➚ 08:39 ➘ 16:54</v>
      </c>
      <c r="Z21" s="535"/>
      <c r="AA21" s="152"/>
      <c r="AB21" s="151"/>
      <c r="AC21" s="165" t="str">
        <f>IF(MONTH(AC19)&lt;&gt;MONTH($AH$7),"",IF(ISNA(VLOOKUP(AC19,TAB_LUNE,2,FALSE)),"",VLOOKUP(AC19,TAB_LUNE,2,FALSE)))</f>
        <v/>
      </c>
      <c r="AD21" s="534" t="str">
        <f>IF(MONTH(AC19)&lt;&gt;MONTH($AH$7),"",IF(ISNA(VLOOKUP(AC19,TAB_TAB_SOLEIL,18,FALSE)),"",VLOOKUP(AC19,TAB_SOLEIL,18,FALSE)))</f>
        <v>🌞 ➚ 08:40 ➘ 16:55</v>
      </c>
      <c r="AE21" s="535"/>
      <c r="AF21" s="152"/>
      <c r="AG21" s="151"/>
      <c r="AH21" s="165" t="str">
        <f>IF(MONTH(AH19)&lt;&gt;MONTH($AH$7),"",IF(ISNA(VLOOKUP(AH19,TAB_LUNE,2,FALSE)),"",VLOOKUP(AH19,TAB_LUNE,2,FALSE)))</f>
        <v>🌕</v>
      </c>
      <c r="AI21" s="534" t="str">
        <f>IF(MONTH(AH19)&lt;&gt;MONTH($AH$7),"",IF(ISNA(VLOOKUP(AH19,TAB_TAB_SOLEIL,18,FALSE)),"",VLOOKUP(AH19,TAB_SOLEIL,18,FALSE)))</f>
        <v>🌞 ➚ 08:40 ➘ 16:55</v>
      </c>
      <c r="AJ21" s="535"/>
      <c r="AK21" s="153"/>
    </row>
    <row r="22" spans="2:37" s="154" customFormat="1" x14ac:dyDescent="0.15">
      <c r="B22" s="150"/>
      <c r="C22" s="151"/>
      <c r="D22" s="533" t="str">
        <f>IF(MONTH(D19)&lt;&gt;MONTH($AH$7),"",IF(ISNA(VLOOKUP(D19,TAB_EVENT_PERSO,3,FALSE)),"",VLOOKUP(D19,TAB_EVENT_PERSO,3,FALSE)))</f>
        <v/>
      </c>
      <c r="E22" s="534"/>
      <c r="F22" s="535"/>
      <c r="G22" s="152"/>
      <c r="H22" s="151"/>
      <c r="I22" s="533" t="str">
        <f>IF(MONTH(I19)&lt;&gt;MONTH($AH$7),"",IF(ISNA(VLOOKUP(I19,TAB_EVENT_PERSO,3,FALSE)),"",VLOOKUP(I19,TAB_EVENT_PERSO,3,FALSE)))</f>
        <v/>
      </c>
      <c r="J22" s="534"/>
      <c r="K22" s="535"/>
      <c r="L22" s="152"/>
      <c r="M22" s="151"/>
      <c r="N22" s="533" t="str">
        <f>IF(MONTH(N19)&lt;&gt;MONTH($AH$7),"",IF(ISNA(VLOOKUP(N19,TAB_EVENT_PERSO,3,FALSE)),"",VLOOKUP(N19,TAB_EVENT_PERSO,3,FALSE)))</f>
        <v/>
      </c>
      <c r="O22" s="534"/>
      <c r="P22" s="535"/>
      <c r="Q22" s="152"/>
      <c r="R22" s="151"/>
      <c r="S22" s="533" t="str">
        <f>IF(MONTH(S19)&lt;&gt;MONTH($AH$7),"",IF(ISNA(VLOOKUP(S19,TAB_EVENT_PERSO,3,FALSE)),"",VLOOKUP(S19,TAB_EVENT_PERSO,3,FALSE)))</f>
        <v/>
      </c>
      <c r="T22" s="534"/>
      <c r="U22" s="535"/>
      <c r="V22" s="152"/>
      <c r="W22" s="151"/>
      <c r="X22" s="533" t="str">
        <f>IF(MONTH(X19)&lt;&gt;MONTH($AH$7),"",IF(ISNA(VLOOKUP(X19,TAB_EVENT_PERSO,3,FALSE)),"",VLOOKUP(X19,TAB_EVENT_PERSO,3,FALSE)))</f>
        <v/>
      </c>
      <c r="Y22" s="534"/>
      <c r="Z22" s="535"/>
      <c r="AA22" s="152"/>
      <c r="AB22" s="151"/>
      <c r="AC22" s="533" t="str">
        <f>IF(MONTH(AC19)&lt;&gt;MONTH($AH$7),"",IF(ISNA(VLOOKUP(AC19,TAB_EVENT_PERSO,3,FALSE)),"",VLOOKUP(AC19,TAB_EVENT_PERSO,3,FALSE)))</f>
        <v/>
      </c>
      <c r="AD22" s="534"/>
      <c r="AE22" s="535"/>
      <c r="AF22" s="152"/>
      <c r="AG22" s="151"/>
      <c r="AH22" s="533" t="str">
        <f>IF(MONTH(AH19)&lt;&gt;MONTH($AH$7),"",IF(ISNA(VLOOKUP(AH19,TAB_EVENT_PERSO,3,FALSE)),"",VLOOKUP(AH19,TAB_EVENT_PERSO,3,FALSE)))</f>
        <v/>
      </c>
      <c r="AI22" s="534"/>
      <c r="AJ22" s="535"/>
      <c r="AK22" s="153"/>
    </row>
    <row r="23" spans="2:37" s="113" customFormat="1" ht="40" customHeight="1" thickBot="1" x14ac:dyDescent="0.2">
      <c r="B23" s="134"/>
      <c r="C23" s="111"/>
      <c r="D23" s="536" t="str">
        <f>IF(MONTH(D19)&lt;&gt;MONTH($AH$7),"",IF(Calculs!$P$3=FALSE,"",VLOOKUP(DATE(,MONTH(D19),DAY(D19)),TAB_SAINTS,5,FALSE)))</f>
        <v>🍻 Jocelyn, Lucie</v>
      </c>
      <c r="E23" s="537"/>
      <c r="F23" s="538"/>
      <c r="G23" s="143"/>
      <c r="H23" s="112"/>
      <c r="I23" s="536" t="str">
        <f>IF(MONTH(I19)&lt;&gt;MONTH($AH$7),"",IF(Calculs!$P$3=FALSE,"",VLOOKUP(DATE(,MONTH(I19),DAY(I19)),TAB_SAINTS,5,FALSE)))</f>
        <v>🍻 Odile</v>
      </c>
      <c r="J23" s="537"/>
      <c r="K23" s="538"/>
      <c r="L23" s="143"/>
      <c r="M23" s="112"/>
      <c r="N23" s="536" t="str">
        <f>IF(MONTH(N19)&lt;&gt;MONTH($AH$7),"",IF(Calculs!$P$3=FALSE,"",VLOOKUP(DATE(,MONTH(N19),DAY(N19)),TAB_SAINTS,5,FALSE)))</f>
        <v>🍻 Ninon</v>
      </c>
      <c r="O23" s="537"/>
      <c r="P23" s="538"/>
      <c r="Q23" s="143"/>
      <c r="R23" s="112"/>
      <c r="S23" s="536" t="str">
        <f>IF(MONTH(S19)&lt;&gt;MONTH($AH$7),"",IF(Calculs!$P$3=FALSE,"",VLOOKUP(DATE(,MONTH(S19),DAY(S19)),TAB_SAINTS,5,FALSE)))</f>
        <v>🍻 Alice</v>
      </c>
      <c r="T23" s="537"/>
      <c r="U23" s="538"/>
      <c r="V23" s="143"/>
      <c r="W23" s="112"/>
      <c r="X23" s="536" t="str">
        <f>IF(MONTH(X19)&lt;&gt;MONTH($AH$7),"",IF(Calculs!$P$3=FALSE,"",VLOOKUP(DATE(,MONTH(X19),DAY(X19)),TAB_SAINTS,5,FALSE)))</f>
        <v>🍻 Adélaïde, Gaël, Judicaël</v>
      </c>
      <c r="Y23" s="537"/>
      <c r="Z23" s="538"/>
      <c r="AA23" s="143"/>
      <c r="AB23" s="112"/>
      <c r="AC23" s="536" t="str">
        <f>IF(MONTH(AC19)&lt;&gt;MONTH($AH$7),"",IF(Calculs!$P$3=FALSE,"",VLOOKUP(DATE(,MONTH(AC19),DAY(AC19)),TAB_SAINTS,5,FALSE)))</f>
        <v>🍻 Briac, Gatien</v>
      </c>
      <c r="AD23" s="537"/>
      <c r="AE23" s="538"/>
      <c r="AF23" s="143"/>
      <c r="AG23" s="112"/>
      <c r="AH23" s="536" t="str">
        <f>IF(MONTH(AH19)&lt;&gt;MONTH($AH$7),"",IF(Calculs!$P$3=FALSE,"",VLOOKUP(DATE(,MONTH(AH19),DAY(AH19)),TAB_SAINTS,5,FALSE)))</f>
        <v>🍻 Urbain</v>
      </c>
      <c r="AI23" s="537"/>
      <c r="AJ23" s="538"/>
      <c r="AK23" s="130"/>
    </row>
    <row r="24" spans="2:37" ht="13" customHeight="1" x14ac:dyDescent="0.15">
      <c r="B24" s="119"/>
      <c r="C24" s="120"/>
      <c r="D24" s="120"/>
      <c r="E24" s="120"/>
      <c r="F24" s="138"/>
      <c r="G24" s="138"/>
      <c r="H24" s="139"/>
      <c r="I24" s="139"/>
      <c r="J24" s="139"/>
      <c r="K24" s="138"/>
      <c r="L24" s="138"/>
      <c r="M24" s="139"/>
      <c r="N24" s="139"/>
      <c r="O24" s="139"/>
      <c r="P24" s="138"/>
      <c r="Q24" s="138"/>
      <c r="R24" s="139"/>
      <c r="S24" s="139"/>
      <c r="T24" s="139"/>
      <c r="U24" s="138"/>
      <c r="V24" s="138"/>
      <c r="W24" s="139"/>
      <c r="X24" s="139"/>
      <c r="Y24" s="139"/>
      <c r="Z24" s="138"/>
      <c r="AA24" s="138"/>
      <c r="AB24" s="139"/>
      <c r="AC24" s="139"/>
      <c r="AD24" s="139"/>
      <c r="AE24" s="138"/>
      <c r="AF24" s="138"/>
      <c r="AG24" s="139"/>
      <c r="AH24" s="139"/>
      <c r="AI24" s="139"/>
      <c r="AJ24" s="138"/>
      <c r="AK24" s="126"/>
    </row>
    <row r="25" spans="2:37" s="109" customFormat="1" ht="13" customHeight="1" x14ac:dyDescent="0.3">
      <c r="B25" s="132"/>
      <c r="C25" s="108" t="str">
        <f>IF(ISNA(VLOOKUP(D25,TAB_FERIES,4,FALSE)),"",VLOOKUP(D25,TAB_FERIES,4,FALSE))</f>
        <v/>
      </c>
      <c r="D25" s="539">
        <f>I25-1</f>
        <v>44550</v>
      </c>
      <c r="E25" s="145" t="str">
        <f>IF(MONTH(D25)&lt;&gt;MONTH($AH$7),"",CONCATENATE("S ",INT((9+D25-MOD(D25-2,7)-DATE(YEAR(3+D25-MOD(D25-2,7)),1,))/7)))</f>
        <v>S 51</v>
      </c>
      <c r="F25" s="146">
        <f>IF(MONTH(D25)&lt;&gt;MONTH($AH$7),"",D25-DATE(YEAR(D25),1,0))</f>
        <v>354</v>
      </c>
      <c r="G25" s="141"/>
      <c r="H25" s="108" t="str">
        <f>IF(ISNA(VLOOKUP(I25,TAB_FERIES_PURS,4,FALSE)),"",VLOOKUP(I25,TAB_FERIES_PURS,4,FALSE))</f>
        <v/>
      </c>
      <c r="I25" s="539">
        <f>N25-1</f>
        <v>44551</v>
      </c>
      <c r="J25" s="145" t="str">
        <f>IF(MONTH(I25)&lt;&gt;MONTH($AH$7),"",CONCATENATE("S ",INT((9+I25-MOD(I25-2,7)-DATE(YEAR(3+I25-MOD(I25-2,7)),1,))/7)))</f>
        <v>S 51</v>
      </c>
      <c r="K25" s="146">
        <f>IF(MONTH(I25)&lt;&gt;MONTH($AH$7),"",I25-DATE(YEAR(I25),1,0))</f>
        <v>355</v>
      </c>
      <c r="L25" s="141"/>
      <c r="M25" s="108" t="str">
        <f>IF(ISNA(VLOOKUP(N25,TAB_FERIES_PURS,4,FALSE)),"",VLOOKUP(N25,TAB_FERIES_PURS,4,FALSE))</f>
        <v/>
      </c>
      <c r="N25" s="539">
        <f>S25-1</f>
        <v>44552</v>
      </c>
      <c r="O25" s="145" t="str">
        <f>IF(MONTH(N25)&lt;&gt;MONTH($AH$7),"",CONCATENATE("S ",INT((9+N25-MOD(N25-2,7)-DATE(YEAR(3+N25-MOD(N25-2,7)),1,))/7)))</f>
        <v>S 51</v>
      </c>
      <c r="P25" s="146">
        <f>IF(MONTH(N25)&lt;&gt;MONTH($AH$7),"",N25-DATE(YEAR(N25),1,0))</f>
        <v>356</v>
      </c>
      <c r="Q25" s="141"/>
      <c r="R25" s="108" t="str">
        <f>IF(ISNA(VLOOKUP(S25,TAB_FERIES_PURS,4,FALSE)),"",VLOOKUP(S25,TAB_FERIES_PURS,4,FALSE))</f>
        <v/>
      </c>
      <c r="S25" s="539">
        <f>X25-1</f>
        <v>44553</v>
      </c>
      <c r="T25" s="145" t="str">
        <f>IF(MONTH(S25)&lt;&gt;MONTH($AH$7),"",CONCATENATE("S ",INT((9+S25-MOD(S25-2,7)-DATE(YEAR(3+S25-MOD(S25-2,7)),1,))/7)))</f>
        <v>S 51</v>
      </c>
      <c r="U25" s="146">
        <f>IF(MONTH(S25)&lt;&gt;MONTH($AH$7),"",S25-DATE(YEAR(S25),1,0))</f>
        <v>357</v>
      </c>
      <c r="V25" s="141"/>
      <c r="W25" s="108" t="str">
        <f>IF(ISNA(VLOOKUP(X25,TAB_FERIES_PURS,4,FALSE)),"",VLOOKUP(X25,TAB_FERIES_PURS,4,FALSE))</f>
        <v/>
      </c>
      <c r="X25" s="539">
        <f>AC25-1</f>
        <v>44554</v>
      </c>
      <c r="Y25" s="145" t="str">
        <f>IF(MONTH(X25)&lt;&gt;MONTH($AH$7),"",CONCATENATE("S ",INT((9+X25-MOD(X25-2,7)-DATE(YEAR(3+X25-MOD(X25-2,7)),1,))/7)))</f>
        <v>S 51</v>
      </c>
      <c r="Z25" s="146">
        <f>IF(MONTH(X25)&lt;&gt;MONTH($AH$7),"",X25-DATE(YEAR(X25),1,0))</f>
        <v>358</v>
      </c>
      <c r="AA25" s="141"/>
      <c r="AB25" s="108" t="str">
        <f>IF(ISNA(VLOOKUP(AC25,TAB_FERIES_PURS,4,FALSE)),"",VLOOKUP(AC25,TAB_FERIES_PURS,4,FALSE))</f>
        <v>F</v>
      </c>
      <c r="AC25" s="539">
        <f>AH25-1</f>
        <v>44555</v>
      </c>
      <c r="AD25" s="145" t="str">
        <f>IF(MONTH(AC25)&lt;&gt;MONTH($AH$7),"",CONCATENATE("S ",INT((9+AC25-MOD(AC25-2,7)-DATE(YEAR(3+AC25-MOD(AC25-2,7)),1,))/7)))</f>
        <v>S 51</v>
      </c>
      <c r="AE25" s="146">
        <f>IF(MONTH(AC25)&lt;&gt;MONTH($AH$7),"",AC25-DATE(YEAR(AC25),1,0))</f>
        <v>359</v>
      </c>
      <c r="AF25" s="141"/>
      <c r="AG25" s="108" t="str">
        <f>IF(ISNA(VLOOKUP(AH25,TAB_FERIES_PURS,4,FALSE)),"",VLOOKUP(AH25,TAB_FERIES_PURS,4,FALSE))</f>
        <v/>
      </c>
      <c r="AH25" s="539">
        <f>AH19+7</f>
        <v>44556</v>
      </c>
      <c r="AI25" s="145" t="str">
        <f>IF(MONTH(AH25)&lt;&gt;MONTH($AH$7),"",CONCATENATE("S ",INT((9+AH25-MOD(AH25-2,7)-DATE(YEAR(3+AH25-MOD(AH25-2,7)),1,))/7)))</f>
        <v>S 51</v>
      </c>
      <c r="AJ25" s="146">
        <f>IF(MONTH(AH25)&lt;&gt;MONTH($AH$7),"",AH25-DATE(YEAR(AH25),1,0))</f>
        <v>360</v>
      </c>
      <c r="AK25" s="128"/>
    </row>
    <row r="26" spans="2:37" s="110" customFormat="1" ht="13" customHeight="1" x14ac:dyDescent="0.3">
      <c r="B26" s="133"/>
      <c r="C26" s="106"/>
      <c r="D26" s="540"/>
      <c r="E26" s="541" t="str">
        <f>IF(MONTH(D25)&lt;&gt;MONTH($AH$7),"",IF(C25=0,"",IF(ISNA(VLOOKUP(D25,TAB_FERIES_PURS,3,FALSE)),"",VLOOKUP(D25,TAB_FERIES_PURS,3,FALSE))))</f>
        <v/>
      </c>
      <c r="F26" s="542"/>
      <c r="G26" s="142"/>
      <c r="H26" s="106"/>
      <c r="I26" s="540"/>
      <c r="J26" s="541" t="str">
        <f>IF(MONTH(I25)&lt;&gt;MONTH($AH$7),"",IF(H25=0,"",IF(ISNA(VLOOKUP(I25,TAB_FERIES_PURS,3,FALSE)),"",VLOOKUP(I25,TAB_FERIES_PURS,3,FALSE))))</f>
        <v/>
      </c>
      <c r="K26" s="542"/>
      <c r="L26" s="142"/>
      <c r="M26" s="106"/>
      <c r="N26" s="540"/>
      <c r="O26" s="541" t="str">
        <f>IF(MONTH(N25)&lt;&gt;MONTH($AH$7),"",IF(M25=0,"",IF(ISNA(VLOOKUP(N25,TAB_FERIES_PURS,3,FALSE)),"",VLOOKUP(N25,TAB_FERIES_PURS,3,FALSE))))</f>
        <v/>
      </c>
      <c r="P26" s="542"/>
      <c r="Q26" s="142"/>
      <c r="R26" s="106"/>
      <c r="S26" s="540"/>
      <c r="T26" s="541" t="str">
        <f>IF(MONTH(S25)&lt;&gt;MONTH($AH$7),"",IF(R25=0,"",IF(ISNA(VLOOKUP(S25,TAB_FERIES_PURS,3,FALSE)),"",VLOOKUP(S25,TAB_FERIES_PURS,3,FALSE))))</f>
        <v/>
      </c>
      <c r="U26" s="542"/>
      <c r="V26" s="142"/>
      <c r="W26" s="106"/>
      <c r="X26" s="540"/>
      <c r="Y26" s="541" t="str">
        <f>IF(MONTH(X25)&lt;&gt;MONTH($AH$7),"",IF(W25=0,"",IF(ISNA(VLOOKUP(X25,TAB_FERIES_PURS,3,FALSE)),"",VLOOKUP(X25,TAB_FERIES_PURS,3,FALSE))))</f>
        <v/>
      </c>
      <c r="Z26" s="542"/>
      <c r="AA26" s="142"/>
      <c r="AB26" s="106"/>
      <c r="AC26" s="540"/>
      <c r="AD26" s="541" t="str">
        <f>IF(MONTH(AC25)&lt;&gt;MONTH($AH$7),"",IF(AB25=0,"",IF(ISNA(VLOOKUP(AC25,TAB_FERIES_PURS,3,FALSE)),"",VLOOKUP(AC25,TAB_FERIES_PURS,3,FALSE))))</f>
        <v>Noël</v>
      </c>
      <c r="AE26" s="542"/>
      <c r="AF26" s="142"/>
      <c r="AG26" s="106"/>
      <c r="AH26" s="540"/>
      <c r="AI26" s="541" t="str">
        <f>IF(MONTH(AH25)&lt;&gt;MONTH($AH$7),"",IF(AG25=0,"",IF(ISNA(VLOOKUP(AH25,TAB_FERIES_PURS,3,FALSE)),"",VLOOKUP(AH25,TAB_FERIES_PURS,3,FALSE))))</f>
        <v/>
      </c>
      <c r="AJ26" s="542"/>
      <c r="AK26" s="129"/>
    </row>
    <row r="27" spans="2:37" s="154" customFormat="1" x14ac:dyDescent="0.15">
      <c r="B27" s="150"/>
      <c r="C27" s="151"/>
      <c r="D27" s="165" t="str">
        <f>IF(MONTH(D25)&lt;&gt;MONTH($AH$7),"",IF(ISNA(VLOOKUP(D25,TAB_LUNE,2,FALSE)),"",VLOOKUP(D25,TAB_LUNE,2,FALSE)))</f>
        <v/>
      </c>
      <c r="E27" s="534" t="str">
        <f>IF(MONTH(D25)&lt;&gt;MONTH($AH$7),"",IF(ISNA(VLOOKUP(D25,TAB_TAB_SOLEIL,18,FALSE)),"",VLOOKUP(D25,TAB_SOLEIL,18,FALSE)))</f>
        <v>🌞 ➚ 08:41 ➘ 16:55</v>
      </c>
      <c r="F27" s="535"/>
      <c r="G27" s="152"/>
      <c r="H27" s="151"/>
      <c r="I27" s="165" t="str">
        <f>IF(MONTH(I25)&lt;&gt;MONTH($AH$7),"",IF(ISNA(VLOOKUP(I25,TAB_LUNE,2,FALSE)),"",VLOOKUP(I25,TAB_LUNE,2,FALSE)))</f>
        <v/>
      </c>
      <c r="J27" s="534" t="str">
        <f>IF(MONTH(I25)&lt;&gt;MONTH($AH$7),"",IF(ISNA(VLOOKUP(I25,TAB_TAB_SOLEIL,18,FALSE)),"",VLOOKUP(I25,TAB_SOLEIL,18,FALSE)))</f>
        <v>🌞 ➚ 08:41 ➘ 16:56</v>
      </c>
      <c r="K27" s="535"/>
      <c r="L27" s="152"/>
      <c r="M27" s="151"/>
      <c r="N27" s="165" t="str">
        <f>IF(MONTH(N25)&lt;&gt;MONTH($AH$7),"",IF(ISNA(VLOOKUP(N25,TAB_LUNE,2,FALSE)),"",VLOOKUP(N25,TAB_LUNE,2,FALSE)))</f>
        <v/>
      </c>
      <c r="O27" s="534" t="str">
        <f>IF(MONTH(N25)&lt;&gt;MONTH($AH$7),"",IF(ISNA(VLOOKUP(N25,TAB_TAB_SOLEIL,18,FALSE)),"",VLOOKUP(N25,TAB_SOLEIL,18,FALSE)))</f>
        <v>🌞 ➚ 08:42 ➘ 16:56</v>
      </c>
      <c r="P27" s="535"/>
      <c r="Q27" s="152"/>
      <c r="R27" s="151"/>
      <c r="S27" s="165" t="str">
        <f>IF(MONTH(S25)&lt;&gt;MONTH($AH$7),"",IF(ISNA(VLOOKUP(S25,TAB_LUNE,2,FALSE)),"",VLOOKUP(S25,TAB_LUNE,2,FALSE)))</f>
        <v/>
      </c>
      <c r="T27" s="534" t="str">
        <f>IF(MONTH(S25)&lt;&gt;MONTH($AH$7),"",IF(ISNA(VLOOKUP(S25,TAB_TAB_SOLEIL,18,FALSE)),"",VLOOKUP(S25,TAB_SOLEIL,18,FALSE)))</f>
        <v>🌞 ➚ 08:42 ➘ 16:57</v>
      </c>
      <c r="U27" s="535"/>
      <c r="V27" s="152"/>
      <c r="W27" s="151"/>
      <c r="X27" s="165" t="str">
        <f>IF(MONTH(X25)&lt;&gt;MONTH($AH$7),"",IF(ISNA(VLOOKUP(X25,TAB_LUNE,2,FALSE)),"",VLOOKUP(X25,TAB_LUNE,2,FALSE)))</f>
        <v/>
      </c>
      <c r="Y27" s="534" t="str">
        <f>IF(MONTH(X25)&lt;&gt;MONTH($AH$7),"",IF(ISNA(VLOOKUP(X25,TAB_TAB_SOLEIL,18,FALSE)),"",VLOOKUP(X25,TAB_SOLEIL,18,FALSE)))</f>
        <v>🌞 ➚ 08:43 ➘ 16:58</v>
      </c>
      <c r="Z27" s="535"/>
      <c r="AA27" s="152"/>
      <c r="AB27" s="151"/>
      <c r="AC27" s="165" t="str">
        <f>IF(MONTH(AC25)&lt;&gt;MONTH($AH$7),"",IF(ISNA(VLOOKUP(AC25,TAB_LUNE,2,FALSE)),"",VLOOKUP(AC25,TAB_LUNE,2,FALSE)))</f>
        <v/>
      </c>
      <c r="AD27" s="534" t="str">
        <f>IF(MONTH(AC25)&lt;&gt;MONTH($AH$7),"",IF(ISNA(VLOOKUP(AC25,TAB_TAB_SOLEIL,18,FALSE)),"",VLOOKUP(AC25,TAB_SOLEIL,18,FALSE)))</f>
        <v>🌞 ➚ 08:43 ➘ 16:58</v>
      </c>
      <c r="AE27" s="535"/>
      <c r="AF27" s="152"/>
      <c r="AG27" s="151"/>
      <c r="AH27" s="165" t="str">
        <f>IF(MONTH(AH25)&lt;&gt;MONTH($AH$7),"",IF(ISNA(VLOOKUP(AH25,TAB_LUNE,2,FALSE)),"",VLOOKUP(AH25,TAB_LUNE,2,FALSE)))</f>
        <v/>
      </c>
      <c r="AI27" s="534" t="str">
        <f>IF(MONTH(AH25)&lt;&gt;MONTH($AH$7),"",IF(ISNA(VLOOKUP(AH25,TAB_TAB_SOLEIL,18,FALSE)),"",VLOOKUP(AH25,TAB_SOLEIL,18,FALSE)))</f>
        <v>🌞 ➚ 08:43 ➘ 16:59</v>
      </c>
      <c r="AJ27" s="535"/>
      <c r="AK27" s="153"/>
    </row>
    <row r="28" spans="2:37" s="154" customFormat="1" x14ac:dyDescent="0.15">
      <c r="B28" s="150"/>
      <c r="C28" s="151"/>
      <c r="D28" s="533" t="str">
        <f>IF(MONTH(D25)&lt;&gt;MONTH($AH$7),"",IF(ISNA(VLOOKUP(D25,TAB_EVENT_PERSO,3,FALSE)),"",VLOOKUP(D25,TAB_EVENT_PERSO,3,FALSE)))</f>
        <v/>
      </c>
      <c r="E28" s="534"/>
      <c r="F28" s="535"/>
      <c r="G28" s="152"/>
      <c r="H28" s="151"/>
      <c r="I28" s="533" t="str">
        <f>IF(MONTH(I25)&lt;&gt;MONTH($AH$7),"",IF(ISNA(VLOOKUP(I25,TAB_EVENT_PERSO,3,FALSE)),"",VLOOKUP(I25,TAB_EVENT_PERSO,3,FALSE)))</f>
        <v>📅 Hiver</v>
      </c>
      <c r="J28" s="534"/>
      <c r="K28" s="535"/>
      <c r="L28" s="152"/>
      <c r="M28" s="151"/>
      <c r="N28" s="533" t="str">
        <f>IF(MONTH(N25)&lt;&gt;MONTH($AH$7),"",IF(ISNA(VLOOKUP(N25,TAB_EVENT_PERSO,3,FALSE)),"",VLOOKUP(N25,TAB_EVENT_PERSO,3,FALSE)))</f>
        <v/>
      </c>
      <c r="O28" s="534"/>
      <c r="P28" s="535"/>
      <c r="Q28" s="152"/>
      <c r="R28" s="151"/>
      <c r="S28" s="533" t="str">
        <f>IF(MONTH(S25)&lt;&gt;MONTH($AH$7),"",IF(ISNA(VLOOKUP(S25,TAB_EVENT_PERSO,3,FALSE)),"",VLOOKUP(S25,TAB_EVENT_PERSO,3,FALSE)))</f>
        <v/>
      </c>
      <c r="T28" s="534"/>
      <c r="U28" s="535"/>
      <c r="V28" s="152"/>
      <c r="W28" s="151"/>
      <c r="X28" s="533" t="str">
        <f>IF(MONTH(X25)&lt;&gt;MONTH($AH$7),"",IF(ISNA(VLOOKUP(X25,TAB_EVENT_PERSO,3,FALSE)),"",VLOOKUP(X25,TAB_EVENT_PERSO,3,FALSE)))</f>
        <v/>
      </c>
      <c r="Y28" s="534"/>
      <c r="Z28" s="535"/>
      <c r="AA28" s="152"/>
      <c r="AB28" s="151"/>
      <c r="AC28" s="533" t="str">
        <f>IF(MONTH(AC25)&lt;&gt;MONTH($AH$7),"",IF(ISNA(VLOOKUP(AC25,TAB_EVENT_PERSO,3,FALSE)),"",VLOOKUP(AC25,TAB_EVENT_PERSO,3,FALSE)))</f>
        <v/>
      </c>
      <c r="AD28" s="534"/>
      <c r="AE28" s="535"/>
      <c r="AF28" s="152"/>
      <c r="AG28" s="151"/>
      <c r="AH28" s="533" t="str">
        <f>IF(MONTH(AH25)&lt;&gt;MONTH($AH$7),"",IF(ISNA(VLOOKUP(AH25,TAB_EVENT_PERSO,3,FALSE)),"",VLOOKUP(AH25,TAB_EVENT_PERSO,3,FALSE)))</f>
        <v/>
      </c>
      <c r="AI28" s="534"/>
      <c r="AJ28" s="535"/>
      <c r="AK28" s="153"/>
    </row>
    <row r="29" spans="2:37" s="113" customFormat="1" ht="40" customHeight="1" thickBot="1" x14ac:dyDescent="0.2">
      <c r="B29" s="134"/>
      <c r="C29" s="111"/>
      <c r="D29" s="536" t="str">
        <f>IF(MONTH(D25)&lt;&gt;MONTH($AH$7),"",IF(Calculs!$P$3=FALSE,"",VLOOKUP(DATE(,MONTH(D25),DAY(D25)),TAB_SAINTS,5,FALSE)))</f>
        <v>🍻 Abraham, Isaac, Jacob, Théophile</v>
      </c>
      <c r="E29" s="537"/>
      <c r="F29" s="538"/>
      <c r="G29" s="143"/>
      <c r="H29" s="112"/>
      <c r="I29" s="536" t="str">
        <f>IF(MONTH(I25)&lt;&gt;MONTH($AH$7),"",IF(Calculs!$P$3=FALSE,"",VLOOKUP(DATE(,MONTH(I25),DAY(I25)),TAB_SAINTS,5,FALSE)))</f>
        <v>🍻 Pierre Canisius</v>
      </c>
      <c r="J29" s="537"/>
      <c r="K29" s="538"/>
      <c r="L29" s="143"/>
      <c r="M29" s="112"/>
      <c r="N29" s="536" t="str">
        <f>IF(MONTH(N25)&lt;&gt;MONTH($AH$7),"",IF(Calculs!$P$3=FALSE,"",VLOOKUP(DATE(,MONTH(N25),DAY(N25)),TAB_SAINTS,5,FALSE)))</f>
        <v>🍻 Françoise-Xavière, Gratien</v>
      </c>
      <c r="O29" s="537"/>
      <c r="P29" s="538"/>
      <c r="Q29" s="143"/>
      <c r="R29" s="112"/>
      <c r="S29" s="536" t="str">
        <f>IF(MONTH(S25)&lt;&gt;MONTH($AH$7),"",IF(Calculs!$P$3=FALSE,"",VLOOKUP(DATE(,MONTH(S25),DAY(S25)),TAB_SAINTS,5,FALSE)))</f>
        <v>🍻 Armand, Évariste</v>
      </c>
      <c r="T29" s="537"/>
      <c r="U29" s="538"/>
      <c r="V29" s="143"/>
      <c r="W29" s="112"/>
      <c r="X29" s="536" t="str">
        <f>IF(MONTH(X25)&lt;&gt;MONTH($AH$7),"",IF(Calculs!$P$3=FALSE,"",VLOOKUP(DATE(,MONTH(X25),DAY(X25)),TAB_SAINTS,5,FALSE)))</f>
        <v>🍻 Adèle</v>
      </c>
      <c r="Y29" s="537"/>
      <c r="Z29" s="538"/>
      <c r="AA29" s="143"/>
      <c r="AB29" s="112"/>
      <c r="AC29" s="536" t="str">
        <f>IF(MONTH(AC25)&lt;&gt;MONTH($AH$7),"",IF(Calculs!$P$3=FALSE,"",VLOOKUP(DATE(,MONTH(AC25),DAY(AC25)),TAB_SAINTS,5,FALSE)))</f>
        <v>🍻 Emmanuel, Manuel</v>
      </c>
      <c r="AD29" s="537"/>
      <c r="AE29" s="538"/>
      <c r="AF29" s="143"/>
      <c r="AG29" s="112"/>
      <c r="AH29" s="536" t="str">
        <f>IF(MONTH(AH25)&lt;&gt;MONTH($AH$7),"",IF(Calculs!$P$3=FALSE,"",VLOOKUP(DATE(,MONTH(AH25),DAY(AH25)),TAB_SAINTS,5,FALSE)))</f>
        <v>🍻 Etienne, Stéphane</v>
      </c>
      <c r="AI29" s="537"/>
      <c r="AJ29" s="538"/>
      <c r="AK29" s="130"/>
    </row>
    <row r="30" spans="2:37" ht="13" customHeight="1" x14ac:dyDescent="0.15">
      <c r="B30" s="119"/>
      <c r="C30" s="120"/>
      <c r="D30" s="120"/>
      <c r="E30" s="120"/>
      <c r="F30" s="138"/>
      <c r="G30" s="138"/>
      <c r="H30" s="139"/>
      <c r="I30" s="139"/>
      <c r="J30" s="139"/>
      <c r="K30" s="138"/>
      <c r="L30" s="138"/>
      <c r="M30" s="139"/>
      <c r="N30" s="139"/>
      <c r="O30" s="139"/>
      <c r="P30" s="138"/>
      <c r="Q30" s="138"/>
      <c r="R30" s="139"/>
      <c r="S30" s="139"/>
      <c r="T30" s="139"/>
      <c r="U30" s="138"/>
      <c r="V30" s="138"/>
      <c r="W30" s="139"/>
      <c r="X30" s="139"/>
      <c r="Y30" s="139"/>
      <c r="Z30" s="138"/>
      <c r="AA30" s="138"/>
      <c r="AB30" s="139"/>
      <c r="AC30" s="139"/>
      <c r="AD30" s="139"/>
      <c r="AE30" s="138"/>
      <c r="AF30" s="138"/>
      <c r="AG30" s="139"/>
      <c r="AH30" s="139"/>
      <c r="AI30" s="139"/>
      <c r="AJ30" s="138"/>
      <c r="AK30" s="126"/>
    </row>
    <row r="31" spans="2:37" s="109" customFormat="1" ht="13" customHeight="1" x14ac:dyDescent="0.3">
      <c r="B31" s="132"/>
      <c r="C31" s="108" t="str">
        <f>IF(ISNA(VLOOKUP(D31,TAB_FERIES,4,FALSE)),"",VLOOKUP(D31,TAB_FERIES,4,FALSE))</f>
        <v/>
      </c>
      <c r="D31" s="539">
        <f>I31-1</f>
        <v>44557</v>
      </c>
      <c r="E31" s="145" t="str">
        <f>IF(MONTH(D31)&lt;&gt;MONTH($AH$7),"",CONCATENATE("S ",INT((9+D31-MOD(D31-2,7)-DATE(YEAR(3+D31-MOD(D31-2,7)),1,))/7)))</f>
        <v>S 52</v>
      </c>
      <c r="F31" s="146">
        <f>IF(MONTH(D31)&lt;&gt;MONTH($AH$7),"",D31-DATE(YEAR(D31),1,0))</f>
        <v>361</v>
      </c>
      <c r="G31" s="141"/>
      <c r="H31" s="108" t="str">
        <f>IF(ISNA(VLOOKUP(I31,TAB_FERIES_PURS,4,FALSE)),"",VLOOKUP(I31,TAB_FERIES_PURS,4,FALSE))</f>
        <v/>
      </c>
      <c r="I31" s="539">
        <f>N31-1</f>
        <v>44558</v>
      </c>
      <c r="J31" s="145" t="str">
        <f>IF(MONTH(I31)&lt;&gt;MONTH($AH$7),"",CONCATENATE("S ",INT((9+I31-MOD(I31-2,7)-DATE(YEAR(3+I31-MOD(I31-2,7)),1,))/7)))</f>
        <v>S 52</v>
      </c>
      <c r="K31" s="146">
        <f>IF(MONTH(I31)&lt;&gt;MONTH($AH$7),"",I31-DATE(YEAR(I31),1,0))</f>
        <v>362</v>
      </c>
      <c r="L31" s="141"/>
      <c r="M31" s="108" t="str">
        <f>IF(ISNA(VLOOKUP(N31,TAB_FERIES_PURS,4,FALSE)),"",VLOOKUP(N31,TAB_FERIES_PURS,4,FALSE))</f>
        <v/>
      </c>
      <c r="N31" s="539">
        <f>S31-1</f>
        <v>44559</v>
      </c>
      <c r="O31" s="145" t="str">
        <f>IF(MONTH(N31)&lt;&gt;MONTH($AH$7),"",CONCATENATE("S ",INT((9+N31-MOD(N31-2,7)-DATE(YEAR(3+N31-MOD(N31-2,7)),1,))/7)))</f>
        <v>S 52</v>
      </c>
      <c r="P31" s="146">
        <f>IF(MONTH(N31)&lt;&gt;MONTH($AH$7),"",N31-DATE(YEAR(N31),1,0))</f>
        <v>363</v>
      </c>
      <c r="Q31" s="141"/>
      <c r="R31" s="108" t="str">
        <f>IF(ISNA(VLOOKUP(S31,TAB_FERIES_PURS,4,FALSE)),"",VLOOKUP(S31,TAB_FERIES_PURS,4,FALSE))</f>
        <v/>
      </c>
      <c r="S31" s="539">
        <f>X31-1</f>
        <v>44560</v>
      </c>
      <c r="T31" s="145" t="str">
        <f>IF(MONTH(S31)&lt;&gt;MONTH($AH$7),"",CONCATENATE("S ",INT((9+S31-MOD(S31-2,7)-DATE(YEAR(3+S31-MOD(S31-2,7)),1,))/7)))</f>
        <v>S 52</v>
      </c>
      <c r="U31" s="146">
        <f>IF(MONTH(S31)&lt;&gt;MONTH($AH$7),"",S31-DATE(YEAR(S31),1,0))</f>
        <v>364</v>
      </c>
      <c r="V31" s="141"/>
      <c r="W31" s="108" t="str">
        <f>IF(ISNA(VLOOKUP(X31,TAB_FERIES_PURS,4,FALSE)),"",VLOOKUP(X31,TAB_FERIES_PURS,4,FALSE))</f>
        <v/>
      </c>
      <c r="X31" s="539">
        <f>AC31-1</f>
        <v>44561</v>
      </c>
      <c r="Y31" s="145" t="str">
        <f>IF(MONTH(X31)&lt;&gt;MONTH($AH$7),"",CONCATENATE("S ",INT((9+X31-MOD(X31-2,7)-DATE(YEAR(3+X31-MOD(X31-2,7)),1,))/7)))</f>
        <v>S 52</v>
      </c>
      <c r="Z31" s="146">
        <f>IF(MONTH(X31)&lt;&gt;MONTH($AH$7),"",X31-DATE(YEAR(X31),1,0))</f>
        <v>365</v>
      </c>
      <c r="AA31" s="141"/>
      <c r="AB31" s="108" t="str">
        <f>IF(ISNA(VLOOKUP(AC31,TAB_FERIES_PURS,4,FALSE)),"",VLOOKUP(AC31,TAB_FERIES_PURS,4,FALSE))</f>
        <v>F</v>
      </c>
      <c r="AC31" s="539">
        <f>AH31-1</f>
        <v>44562</v>
      </c>
      <c r="AD31" s="145" t="str">
        <f>IF(MONTH(AC31)&lt;&gt;MONTH($AH$7),"",CONCATENATE("S ",INT((9+AC31-MOD(AC31-2,7)-DATE(YEAR(3+AC31-MOD(AC31-2,7)),1,))/7)))</f>
        <v/>
      </c>
      <c r="AE31" s="146" t="str">
        <f>IF(MONTH(AC31)&lt;&gt;MONTH($AH$7),"",AC31-DATE(YEAR(AC31),1,0))</f>
        <v/>
      </c>
      <c r="AF31" s="141"/>
      <c r="AG31" s="108" t="str">
        <f>IF(ISNA(VLOOKUP(AH31,TAB_FERIES_PURS,4,FALSE)),"",VLOOKUP(AH31,TAB_FERIES_PURS,4,FALSE))</f>
        <v/>
      </c>
      <c r="AH31" s="539">
        <f>AH25+7</f>
        <v>44563</v>
      </c>
      <c r="AI31" s="145" t="str">
        <f>IF(MONTH(AH31)&lt;&gt;MONTH($AH$7),"",CONCATENATE("S ",INT((9+AH31-MOD(AH31-2,7)-DATE(YEAR(3+AH31-MOD(AH31-2,7)),1,))/7)))</f>
        <v/>
      </c>
      <c r="AJ31" s="146" t="str">
        <f>IF(MONTH(AH31)&lt;&gt;MONTH($AH$7),"",AH31-DATE(YEAR(AH31),1,0))</f>
        <v/>
      </c>
      <c r="AK31" s="128"/>
    </row>
    <row r="32" spans="2:37" s="110" customFormat="1" ht="13" customHeight="1" x14ac:dyDescent="0.3">
      <c r="B32" s="133"/>
      <c r="C32" s="106"/>
      <c r="D32" s="540"/>
      <c r="E32" s="541" t="str">
        <f>IF(MONTH(D31)&lt;&gt;MONTH($AH$7),"",IF(C31=0,"",IF(ISNA(VLOOKUP(D31,TAB_FERIES_PURS,3,FALSE)),"",VLOOKUP(D31,TAB_FERIES_PURS,3,FALSE))))</f>
        <v/>
      </c>
      <c r="F32" s="542"/>
      <c r="G32" s="142"/>
      <c r="H32" s="106"/>
      <c r="I32" s="540"/>
      <c r="J32" s="541" t="str">
        <f>IF(MONTH(I31)&lt;&gt;MONTH($AH$7),"",IF(H31=0,"",IF(ISNA(VLOOKUP(I31,TAB_FERIES_PURS,3,FALSE)),"",VLOOKUP(I31,TAB_FERIES_PURS,3,FALSE))))</f>
        <v/>
      </c>
      <c r="K32" s="542"/>
      <c r="L32" s="142"/>
      <c r="M32" s="106"/>
      <c r="N32" s="540"/>
      <c r="O32" s="541" t="str">
        <f>IF(MONTH(N31)&lt;&gt;MONTH($AH$7),"",IF(M31=0,"",IF(ISNA(VLOOKUP(N31,TAB_FERIES_PURS,3,FALSE)),"",VLOOKUP(N31,TAB_FERIES_PURS,3,FALSE))))</f>
        <v/>
      </c>
      <c r="P32" s="542"/>
      <c r="Q32" s="142"/>
      <c r="R32" s="106"/>
      <c r="S32" s="540"/>
      <c r="T32" s="541" t="str">
        <f>IF(MONTH(S31)&lt;&gt;MONTH($AH$7),"",IF(R31=0,"",IF(ISNA(VLOOKUP(S31,TAB_FERIES_PURS,3,FALSE)),"",VLOOKUP(S31,TAB_FERIES_PURS,3,FALSE))))</f>
        <v/>
      </c>
      <c r="U32" s="542"/>
      <c r="V32" s="142"/>
      <c r="W32" s="106"/>
      <c r="X32" s="540"/>
      <c r="Y32" s="541" t="str">
        <f>IF(MONTH(X31)&lt;&gt;MONTH($AH$7),"",IF(W31=0,"",IF(ISNA(VLOOKUP(X31,TAB_FERIES_PURS,3,FALSE)),"",VLOOKUP(X31,TAB_FERIES_PURS,3,FALSE))))</f>
        <v/>
      </c>
      <c r="Z32" s="542"/>
      <c r="AA32" s="142"/>
      <c r="AB32" s="106"/>
      <c r="AC32" s="540"/>
      <c r="AD32" s="541" t="str">
        <f>IF(MONTH(AC31)&lt;&gt;MONTH($AH$7),"",IF(AB31=0,"",IF(ISNA(VLOOKUP(AC31,TAB_FERIES_PURS,3,FALSE)),"",VLOOKUP(AC31,TAB_FERIES_PURS,3,FALSE))))</f>
        <v/>
      </c>
      <c r="AE32" s="542"/>
      <c r="AF32" s="142"/>
      <c r="AG32" s="106"/>
      <c r="AH32" s="540"/>
      <c r="AI32" s="541" t="str">
        <f>IF(MONTH(AH31)&lt;&gt;MONTH($AH$7),"",IF(AG31=0,"",IF(ISNA(VLOOKUP(AH31,TAB_FERIES_PURS,3,FALSE)),"",VLOOKUP(AH31,TAB_FERIES_PURS,3,FALSE))))</f>
        <v/>
      </c>
      <c r="AJ32" s="542"/>
      <c r="AK32" s="129"/>
    </row>
    <row r="33" spans="2:37" s="154" customFormat="1" x14ac:dyDescent="0.15">
      <c r="B33" s="150"/>
      <c r="C33" s="151"/>
      <c r="D33" s="165" t="str">
        <f>IF(MONTH(D31)&lt;&gt;MONTH($AH$7),"",IF(ISNA(VLOOKUP(D31,TAB_LUNE,2,FALSE)),"",VLOOKUP(D31,TAB_LUNE,2,FALSE)))</f>
        <v>🌗</v>
      </c>
      <c r="E33" s="534" t="str">
        <f>IF(MONTH(D31)&lt;&gt;MONTH($AH$7),"",IF(ISNA(VLOOKUP(D31,TAB_TAB_SOLEIL,18,FALSE)),"",VLOOKUP(D31,TAB_SOLEIL,18,FALSE)))</f>
        <v>🌞 ➚ 08:44 ➘ 17:00</v>
      </c>
      <c r="F33" s="535"/>
      <c r="G33" s="152"/>
      <c r="H33" s="151"/>
      <c r="I33" s="165" t="str">
        <f>IF(MONTH(I31)&lt;&gt;MONTH($AH$7),"",IF(ISNA(VLOOKUP(I31,TAB_LUNE,2,FALSE)),"",VLOOKUP(I31,TAB_LUNE,2,FALSE)))</f>
        <v/>
      </c>
      <c r="J33" s="534" t="str">
        <f>IF(MONTH(I31)&lt;&gt;MONTH($AH$7),"",IF(ISNA(VLOOKUP(I31,TAB_TAB_SOLEIL,18,FALSE)),"",VLOOKUP(I31,TAB_SOLEIL,18,FALSE)))</f>
        <v>🌞 ➚ 08:44 ➘ 17:00</v>
      </c>
      <c r="K33" s="535"/>
      <c r="L33" s="152"/>
      <c r="M33" s="151"/>
      <c r="N33" s="165" t="str">
        <f>IF(MONTH(N31)&lt;&gt;MONTH($AH$7),"",IF(ISNA(VLOOKUP(N31,TAB_LUNE,2,FALSE)),"",VLOOKUP(N31,TAB_LUNE,2,FALSE)))</f>
        <v/>
      </c>
      <c r="O33" s="534" t="str">
        <f>IF(MONTH(N31)&lt;&gt;MONTH($AH$7),"",IF(ISNA(VLOOKUP(N31,TAB_TAB_SOLEIL,18,FALSE)),"",VLOOKUP(N31,TAB_SOLEIL,18,FALSE)))</f>
        <v>🌞 ➚ 08:44 ➘ 17:01</v>
      </c>
      <c r="P33" s="535"/>
      <c r="Q33" s="152"/>
      <c r="R33" s="151"/>
      <c r="S33" s="165" t="str">
        <f>IF(MONTH(S31)&lt;&gt;MONTH($AH$7),"",IF(ISNA(VLOOKUP(S31,TAB_LUNE,2,FALSE)),"",VLOOKUP(S31,TAB_LUNE,2,FALSE)))</f>
        <v/>
      </c>
      <c r="T33" s="534" t="str">
        <f>IF(MONTH(S31)&lt;&gt;MONTH($AH$7),"",IF(ISNA(VLOOKUP(S31,TAB_TAB_SOLEIL,18,FALSE)),"",VLOOKUP(S31,TAB_SOLEIL,18,FALSE)))</f>
        <v>🌞 ➚ 08:44 ➘ 17:02</v>
      </c>
      <c r="U33" s="535"/>
      <c r="V33" s="152"/>
      <c r="W33" s="151"/>
      <c r="X33" s="165" t="str">
        <f>IF(MONTH(X31)&lt;&gt;MONTH($AH$7),"",IF(ISNA(VLOOKUP(X31,TAB_LUNE,2,FALSE)),"",VLOOKUP(X31,TAB_LUNE,2,FALSE)))</f>
        <v/>
      </c>
      <c r="Y33" s="534" t="str">
        <f>IF(MONTH(X31)&lt;&gt;MONTH($AH$7),"",IF(ISNA(VLOOKUP(X31,TAB_TAB_SOLEIL,18,FALSE)),"",VLOOKUP(X31,TAB_SOLEIL,18,FALSE)))</f>
        <v>🌞 ➚ 08:44 ➘ 17:03</v>
      </c>
      <c r="Z33" s="535"/>
      <c r="AA33" s="152"/>
      <c r="AB33" s="151"/>
      <c r="AC33" s="165" t="str">
        <f>IF(MONTH(AC31)&lt;&gt;MONTH($AH$7),"",IF(ISNA(VLOOKUP(AC31,TAB_LUNE,2,FALSE)),"",VLOOKUP(AC31,TAB_LUNE,2,FALSE)))</f>
        <v/>
      </c>
      <c r="AD33" s="534" t="str">
        <f>IF(MONTH(AC31)&lt;&gt;MONTH($AH$7),"",IF(ISNA(VLOOKUP(AC31,TAB_TAB_SOLEIL,18,FALSE)),"",VLOOKUP(AC31,TAB_SOLEIL,18,FALSE)))</f>
        <v/>
      </c>
      <c r="AE33" s="535"/>
      <c r="AF33" s="152"/>
      <c r="AG33" s="151"/>
      <c r="AH33" s="165" t="str">
        <f>IF(MONTH(AH31)&lt;&gt;MONTH($AH$7),"",IF(ISNA(VLOOKUP(AH31,TAB_LUNE,2,FALSE)),"",VLOOKUP(AH31,TAB_LUNE,2,FALSE)))</f>
        <v/>
      </c>
      <c r="AI33" s="534" t="str">
        <f>IF(MONTH(AH31)&lt;&gt;MONTH($AH$7),"",IF(ISNA(VLOOKUP(AH31,TAB_TAB_SOLEIL,18,FALSE)),"",VLOOKUP(AH31,TAB_SOLEIL,18,FALSE)))</f>
        <v/>
      </c>
      <c r="AJ33" s="535"/>
      <c r="AK33" s="153"/>
    </row>
    <row r="34" spans="2:37" s="154" customFormat="1" x14ac:dyDescent="0.15">
      <c r="B34" s="150"/>
      <c r="C34" s="151"/>
      <c r="D34" s="533" t="str">
        <f>IF(MONTH(D31)&lt;&gt;MONTH($AH$7),"",IF(ISNA(VLOOKUP(D31,TAB_EVENT_PERSO,3,FALSE)),"",VLOOKUP(D31,TAB_EVENT_PERSO,3,FALSE)))</f>
        <v/>
      </c>
      <c r="E34" s="534"/>
      <c r="F34" s="535"/>
      <c r="G34" s="152"/>
      <c r="H34" s="151"/>
      <c r="I34" s="533" t="str">
        <f>IF(MONTH(I31)&lt;&gt;MONTH($AH$7),"",IF(ISNA(VLOOKUP(I31,TAB_EVENT_PERSO,3,FALSE)),"",VLOOKUP(I31,TAB_EVENT_PERSO,3,FALSE)))</f>
        <v/>
      </c>
      <c r="J34" s="534"/>
      <c r="K34" s="535"/>
      <c r="L34" s="152"/>
      <c r="M34" s="151"/>
      <c r="N34" s="533" t="str">
        <f>IF(MONTH(N31)&lt;&gt;MONTH($AH$7),"",IF(ISNA(VLOOKUP(N31,TAB_EVENT_PERSO,3,FALSE)),"",VLOOKUP(N31,TAB_EVENT_PERSO,3,FALSE)))</f>
        <v/>
      </c>
      <c r="O34" s="534"/>
      <c r="P34" s="535"/>
      <c r="Q34" s="152"/>
      <c r="R34" s="151"/>
      <c r="S34" s="533" t="str">
        <f>IF(MONTH(S31)&lt;&gt;MONTH($AH$7),"",IF(ISNA(VLOOKUP(S31,TAB_EVENT_PERSO,3,FALSE)),"",VLOOKUP(S31,TAB_EVENT_PERSO,3,FALSE)))</f>
        <v/>
      </c>
      <c r="T34" s="534"/>
      <c r="U34" s="535"/>
      <c r="V34" s="152"/>
      <c r="W34" s="151"/>
      <c r="X34" s="533" t="str">
        <f>IF(MONTH(X31)&lt;&gt;MONTH($AH$7),"",IF(ISNA(VLOOKUP(X31,TAB_EVENT_PERSO,3,FALSE)),"",VLOOKUP(X31,TAB_EVENT_PERSO,3,FALSE)))</f>
        <v/>
      </c>
      <c r="Y34" s="534"/>
      <c r="Z34" s="535"/>
      <c r="AA34" s="152"/>
      <c r="AB34" s="151"/>
      <c r="AC34" s="533" t="str">
        <f>IF(MONTH(AC31)&lt;&gt;MONTH($AH$7),"",IF(ISNA(VLOOKUP(AC31,TAB_EVENT_PERSO,3,FALSE)),"",VLOOKUP(AC31,TAB_EVENT_PERSO,3,FALSE)))</f>
        <v/>
      </c>
      <c r="AD34" s="534"/>
      <c r="AE34" s="535"/>
      <c r="AF34" s="152"/>
      <c r="AG34" s="151"/>
      <c r="AH34" s="533" t="str">
        <f>IF(MONTH(AH31)&lt;&gt;MONTH($AH$7),"",IF(ISNA(VLOOKUP(AH31,TAB_EVENT_PERSO,3,FALSE)),"",VLOOKUP(AH31,TAB_EVENT_PERSO,3,FALSE)))</f>
        <v/>
      </c>
      <c r="AI34" s="534"/>
      <c r="AJ34" s="535"/>
      <c r="AK34" s="153"/>
    </row>
    <row r="35" spans="2:37" s="113" customFormat="1" ht="40" customHeight="1" thickBot="1" x14ac:dyDescent="0.2">
      <c r="B35" s="134"/>
      <c r="C35" s="111"/>
      <c r="D35" s="536" t="str">
        <f>IF(MONTH(D31)&lt;&gt;MONTH($AH$7),"",IF(Calculs!$P$3=FALSE,"",VLOOKUP(DATE(,MONTH(D31),DAY(D31)),TAB_SAINTS,5,FALSE)))</f>
        <v>🍻 Fabiola, Jean, Yoni</v>
      </c>
      <c r="E35" s="537"/>
      <c r="F35" s="538"/>
      <c r="G35" s="143"/>
      <c r="H35" s="112"/>
      <c r="I35" s="536" t="str">
        <f>IF(MONTH(I31)&lt;&gt;MONTH($AH$7),"",IF(Calculs!$P$3=FALSE,"",VLOOKUP(DATE(,MONTH(I31),DAY(I31)),TAB_SAINTS,5,FALSE)))</f>
        <v>🍻 Éléonore, Gaspard, Innocent</v>
      </c>
      <c r="J35" s="537"/>
      <c r="K35" s="538"/>
      <c r="L35" s="143"/>
      <c r="M35" s="112"/>
      <c r="N35" s="536" t="str">
        <f>IF(MONTH(N31)&lt;&gt;MONTH($AH$7),"",IF(Calculs!$P$3=FALSE,"",VLOOKUP(DATE(,MONTH(N31),DAY(N31)),TAB_SAINTS,5,FALSE)))</f>
        <v>🍻 David</v>
      </c>
      <c r="O35" s="537"/>
      <c r="P35" s="538"/>
      <c r="Q35" s="143"/>
      <c r="R35" s="112"/>
      <c r="S35" s="536" t="str">
        <f>IF(MONTH(S31)&lt;&gt;MONTH($AH$7),"",IF(Calculs!$P$3=FALSE,"",VLOOKUP(DATE(,MONTH(S31),DAY(S31)),TAB_SAINTS,5,FALSE)))</f>
        <v>🍻 Roger</v>
      </c>
      <c r="T35" s="537"/>
      <c r="U35" s="538"/>
      <c r="V35" s="143"/>
      <c r="W35" s="112"/>
      <c r="X35" s="536" t="str">
        <f>IF(MONTH(X31)&lt;&gt;MONTH($AH$7),"",IF(Calculs!$P$3=FALSE,"",VLOOKUP(DATE(,MONTH(X31),DAY(X31)),TAB_SAINTS,5,FALSE)))</f>
        <v>🍻 Colombe, Sylvestre</v>
      </c>
      <c r="Y35" s="537"/>
      <c r="Z35" s="538"/>
      <c r="AA35" s="143"/>
      <c r="AB35" s="112"/>
      <c r="AC35" s="536" t="str">
        <f>IF(MONTH(AC31)&lt;&gt;MONTH($AH$7),"",IF(Calculs!$P$3=FALSE,"",VLOOKUP(DATE(,MONTH(AC31),DAY(AC31)),TAB_SAINTS,5,FALSE)))</f>
        <v/>
      </c>
      <c r="AD35" s="537"/>
      <c r="AE35" s="538"/>
      <c r="AF35" s="143"/>
      <c r="AG35" s="112"/>
      <c r="AH35" s="536" t="str">
        <f>IF(MONTH(AH31)&lt;&gt;MONTH($AH$7),"",IF(Calculs!$P$3=FALSE,"",VLOOKUP(DATE(,MONTH(AH31),DAY(AH31)),TAB_SAINTS,5,FALSE)))</f>
        <v/>
      </c>
      <c r="AI35" s="537"/>
      <c r="AJ35" s="538"/>
      <c r="AK35" s="130"/>
    </row>
    <row r="36" spans="2:37" ht="13" customHeight="1" x14ac:dyDescent="0.15">
      <c r="B36" s="119"/>
      <c r="C36" s="120"/>
      <c r="D36" s="120"/>
      <c r="E36" s="120"/>
      <c r="F36" s="138"/>
      <c r="G36" s="138"/>
      <c r="H36" s="139"/>
      <c r="I36" s="139"/>
      <c r="J36" s="139"/>
      <c r="K36" s="138"/>
      <c r="L36" s="138"/>
      <c r="M36" s="139"/>
      <c r="N36" s="139"/>
      <c r="O36" s="139"/>
      <c r="P36" s="138"/>
      <c r="Q36" s="138"/>
      <c r="R36" s="139"/>
      <c r="S36" s="139"/>
      <c r="T36" s="139"/>
      <c r="U36" s="138"/>
      <c r="V36" s="138"/>
      <c r="W36" s="139"/>
      <c r="X36" s="139"/>
      <c r="Y36" s="139"/>
      <c r="Z36" s="138"/>
      <c r="AA36" s="138"/>
      <c r="AB36" s="139"/>
      <c r="AC36" s="139"/>
      <c r="AD36" s="139"/>
      <c r="AE36" s="138"/>
      <c r="AF36" s="138"/>
      <c r="AG36" s="139"/>
      <c r="AH36" s="139"/>
      <c r="AI36" s="139"/>
      <c r="AJ36" s="138"/>
      <c r="AK36" s="126"/>
    </row>
    <row r="37" spans="2:37" s="109" customFormat="1" ht="13" customHeight="1" x14ac:dyDescent="0.3">
      <c r="B37" s="132"/>
      <c r="C37" s="108" t="str">
        <f>IF(ISNA(VLOOKUP(D37,TAB_FERIES,4,FALSE)),"",VLOOKUP(D37,TAB_FERIES,4,FALSE))</f>
        <v/>
      </c>
      <c r="D37" s="539">
        <f>I37-1</f>
        <v>44564</v>
      </c>
      <c r="E37" s="145" t="str">
        <f>IF(MONTH(D37)&lt;&gt;MONTH($AH$7),"",CONCATENATE("S ",INT((9+D37-MOD(D37-2,7)-DATE(YEAR(3+D37-MOD(D37-2,7)),1,))/7)))</f>
        <v/>
      </c>
      <c r="F37" s="146" t="str">
        <f>IF(MONTH(D37)&lt;&gt;MONTH($AH$7),"",D37-DATE(YEAR(D37),1,0))</f>
        <v/>
      </c>
      <c r="G37" s="141"/>
      <c r="H37" s="108" t="str">
        <f>IF(ISNA(VLOOKUP(I37,TAB_FERIES_PURS,4,FALSE)),"",VLOOKUP(I37,TAB_FERIES_PURS,4,FALSE))</f>
        <v/>
      </c>
      <c r="I37" s="539">
        <f>N37-1</f>
        <v>44565</v>
      </c>
      <c r="J37" s="145" t="str">
        <f>IF(MONTH(I37)&lt;&gt;MONTH($AH$7),"",CONCATENATE("S ",INT((9+I37-MOD(I37-2,7)-DATE(YEAR(3+I37-MOD(I37-2,7)),1,))/7)))</f>
        <v/>
      </c>
      <c r="K37" s="146" t="str">
        <f>IF(MONTH(I37)&lt;&gt;MONTH($AH$7),"",I37-DATE(YEAR(I37),1,0))</f>
        <v/>
      </c>
      <c r="L37" s="141"/>
      <c r="M37" s="108" t="str">
        <f>IF(ISNA(VLOOKUP(N37,TAB_FERIES_PURS,4,FALSE)),"",VLOOKUP(N37,TAB_FERIES_PURS,4,FALSE))</f>
        <v/>
      </c>
      <c r="N37" s="539">
        <f>S37-1</f>
        <v>44566</v>
      </c>
      <c r="O37" s="145" t="str">
        <f>IF(MONTH(N37)&lt;&gt;MONTH($AH$7),"",CONCATENATE("S ",INT((9+N37-MOD(N37-2,7)-DATE(YEAR(3+N37-MOD(N37-2,7)),1,))/7)))</f>
        <v/>
      </c>
      <c r="P37" s="146" t="str">
        <f>IF(MONTH(N37)&lt;&gt;MONTH($AH$7),"",N37-DATE(YEAR(N37),1,0))</f>
        <v/>
      </c>
      <c r="Q37" s="141"/>
      <c r="R37" s="106" t="str">
        <f>IF(ISNA(VLOOKUP(S37,TAB_FERIES_PURS,4,FALSE)),"",VLOOKUP(S37,TAB_FERIES_PURS,4,FALSE))</f>
        <v/>
      </c>
      <c r="S37" s="539">
        <f>X37-1</f>
        <v>44567</v>
      </c>
      <c r="T37" s="145" t="str">
        <f>IF(MONTH(S37)&lt;&gt;MONTH($AH$7),"",CONCATENATE("S ",INT((9+S37-MOD(S37-2,7)-DATE(YEAR(3+S37-MOD(S37-2,7)),1,))/7)))</f>
        <v/>
      </c>
      <c r="U37" s="146" t="str">
        <f>IF(MONTH(S37)&lt;&gt;MONTH($AH$7),"",S37-DATE(YEAR(S37),1,0))</f>
        <v/>
      </c>
      <c r="V37" s="141"/>
      <c r="W37" s="108" t="str">
        <f>IF(ISNA(VLOOKUP(X37,TAB_FERIES_PURS,4,FALSE)),"",VLOOKUP(X37,TAB_FERIES_PURS,4,FALSE))</f>
        <v/>
      </c>
      <c r="X37" s="539">
        <f>AC37-1</f>
        <v>44568</v>
      </c>
      <c r="Y37" s="145" t="str">
        <f>IF(MONTH(X37)&lt;&gt;MONTH($AH$7),"",CONCATENATE("S ",INT((9+X37-MOD(X37-2,7)-DATE(YEAR(3+X37-MOD(X37-2,7)),1,))/7)))</f>
        <v/>
      </c>
      <c r="Z37" s="146" t="str">
        <f>IF(MONTH(X37)&lt;&gt;MONTH($AH$7),"",X37-DATE(YEAR(X37),1,0))</f>
        <v/>
      </c>
      <c r="AA37" s="141"/>
      <c r="AB37" s="108" t="str">
        <f>IF(ISNA(VLOOKUP(AC37,TAB_FERIES_PURS,4,FALSE)),"",VLOOKUP(AC37,TAB_FERIES_PURS,4,FALSE))</f>
        <v/>
      </c>
      <c r="AC37" s="539">
        <f>AH37-1</f>
        <v>44569</v>
      </c>
      <c r="AD37" s="145" t="str">
        <f>IF(MONTH(AC37)&lt;&gt;MONTH($AH$7),"",CONCATENATE("S ",INT((9+AC37-MOD(AC37-2,7)-DATE(YEAR(3+AC37-MOD(AC37-2,7)),1,))/7)))</f>
        <v/>
      </c>
      <c r="AE37" s="146" t="str">
        <f>IF(MONTH(AC37)&lt;&gt;MONTH($AH$7),"",AC37-DATE(YEAR(AC37),1,0))</f>
        <v/>
      </c>
      <c r="AF37" s="141"/>
      <c r="AG37" s="108" t="str">
        <f>IF(ISNA(VLOOKUP(AH37,TAB_FERIES_PURS,4,FALSE)),"",VLOOKUP(AH37,TAB_FERIES_PURS,4,FALSE))</f>
        <v/>
      </c>
      <c r="AH37" s="539">
        <f>AH31+7</f>
        <v>44570</v>
      </c>
      <c r="AI37" s="145" t="str">
        <f>IF(MONTH(AH37)&lt;&gt;MONTH($AH$7),"",CONCATENATE("S ",INT((9+AH37-MOD(AH37-2,7)-DATE(YEAR(3+AH37-MOD(AH37-2,7)),1,))/7)))</f>
        <v/>
      </c>
      <c r="AJ37" s="146" t="str">
        <f>IF(MONTH(AH37)&lt;&gt;MONTH($AH$7),"",AH37-DATE(YEAR(AH37),1,0))</f>
        <v/>
      </c>
      <c r="AK37" s="128"/>
    </row>
    <row r="38" spans="2:37" s="110" customFormat="1" ht="13" customHeight="1" x14ac:dyDescent="0.3">
      <c r="B38" s="133"/>
      <c r="C38" s="106"/>
      <c r="D38" s="540"/>
      <c r="E38" s="541" t="str">
        <f>IF(MONTH(D37)&lt;&gt;MONTH($AH$7),"",IF(C37=0,"",IF(ISNA(VLOOKUP(D37,TAB_FERIES_PURS,3,FALSE)),"",VLOOKUP(D37,TAB_FERIES_PURS,3,FALSE))))</f>
        <v/>
      </c>
      <c r="F38" s="542"/>
      <c r="G38" s="142"/>
      <c r="H38" s="106"/>
      <c r="I38" s="540"/>
      <c r="J38" s="541" t="str">
        <f>IF(MONTH(I37)&lt;&gt;MONTH($AH$7),"",IF(H37=0,"",IF(ISNA(VLOOKUP(I37,TAB_FERIES_PURS,3,FALSE)),"",VLOOKUP(I37,TAB_FERIES_PURS,3,FALSE))))</f>
        <v/>
      </c>
      <c r="K38" s="542"/>
      <c r="L38" s="142"/>
      <c r="M38" s="106"/>
      <c r="N38" s="540"/>
      <c r="O38" s="541" t="str">
        <f>IF(MONTH(N37)&lt;&gt;MONTH($AH$7),"",IF(M37=0,"",IF(ISNA(VLOOKUP(N37,TAB_FERIES_PURS,3,FALSE)),"",VLOOKUP(N37,TAB_FERIES_PURS,3,FALSE))))</f>
        <v/>
      </c>
      <c r="P38" s="542"/>
      <c r="Q38" s="142"/>
      <c r="R38" s="106"/>
      <c r="S38" s="540"/>
      <c r="T38" s="541" t="str">
        <f>IF(MONTH(S37)&lt;&gt;MONTH($AH$7),"",IF(R37=0,"",IF(ISNA(VLOOKUP(S37,TAB_FERIES_PURS,3,FALSE)),"",VLOOKUP(S37,TAB_FERIES_PURS,3,FALSE))))</f>
        <v/>
      </c>
      <c r="U38" s="542"/>
      <c r="V38" s="142"/>
      <c r="W38" s="106"/>
      <c r="X38" s="540"/>
      <c r="Y38" s="541" t="str">
        <f>IF(MONTH(X37)&lt;&gt;MONTH($AH$7),"",IF(W37=0,"",IF(ISNA(VLOOKUP(X37,TAB_FERIES_PURS,3,FALSE)),"",VLOOKUP(X37,TAB_FERIES_PURS,3,FALSE))))</f>
        <v/>
      </c>
      <c r="Z38" s="542"/>
      <c r="AA38" s="142"/>
      <c r="AB38" s="106"/>
      <c r="AC38" s="540"/>
      <c r="AD38" s="541" t="str">
        <f>IF(MONTH(AC37)&lt;&gt;MONTH($AH$7),"",IF(AB37=0,"",IF(ISNA(VLOOKUP(AC37,TAB_FERIES_PURS,3,FALSE)),"",VLOOKUP(AC37,TAB_FERIES_PURS,3,FALSE))))</f>
        <v/>
      </c>
      <c r="AE38" s="542"/>
      <c r="AF38" s="142"/>
      <c r="AG38" s="106"/>
      <c r="AH38" s="540"/>
      <c r="AI38" s="541" t="str">
        <f>IF(MONTH(AH37)&lt;&gt;MONTH($AH$7),"",IF(AG37=0,"",IF(ISNA(VLOOKUP(AH37,TAB_FERIES_PURS,3,FALSE)),"",VLOOKUP(AH37,TAB_FERIES_PURS,3,FALSE))))</f>
        <v/>
      </c>
      <c r="AJ38" s="542"/>
      <c r="AK38" s="129"/>
    </row>
    <row r="39" spans="2:37" s="154" customFormat="1" x14ac:dyDescent="0.15">
      <c r="B39" s="150"/>
      <c r="C39" s="151"/>
      <c r="D39" s="165" t="str">
        <f>IF(MONTH(D37)&lt;&gt;MONTH($AH$7),"",IF(ISNA(VLOOKUP(D37,TAB_LUNE,2,FALSE)),"",VLOOKUP(D37,TAB_LUNE,2,FALSE)))</f>
        <v/>
      </c>
      <c r="E39" s="534" t="str">
        <f>IF(MONTH(D37)&lt;&gt;MONTH($AH$7),"",IF(ISNA(VLOOKUP(D37,TAB_TAB_SOLEIL,18,FALSE)),"",VLOOKUP(D37,TAB_SOLEIL,18,FALSE)))</f>
        <v/>
      </c>
      <c r="F39" s="535"/>
      <c r="G39" s="152"/>
      <c r="H39" s="151"/>
      <c r="I39" s="165" t="str">
        <f>IF(MONTH(I37)&lt;&gt;MONTH($AH$7),"",IF(ISNA(VLOOKUP(I37,TAB_LUNE,2,FALSE)),"",VLOOKUP(I37,TAB_LUNE,2,FALSE)))</f>
        <v/>
      </c>
      <c r="J39" s="534" t="str">
        <f>IF(MONTH(I37)&lt;&gt;MONTH($AH$7),"",IF(ISNA(VLOOKUP(I37,TAB_TAB_SOLEIL,18,FALSE)),"",VLOOKUP(I37,TAB_SOLEIL,18,FALSE)))</f>
        <v/>
      </c>
      <c r="K39" s="535"/>
      <c r="L39" s="152"/>
      <c r="M39" s="151"/>
      <c r="N39" s="165" t="str">
        <f>IF(MONTH(N37)&lt;&gt;MONTH($AH$7),"",IF(ISNA(VLOOKUP(N37,TAB_LUNE,2,FALSE)),"",VLOOKUP(N37,TAB_LUNE,2,FALSE)))</f>
        <v/>
      </c>
      <c r="O39" s="534" t="str">
        <f>IF(MONTH(N37)&lt;&gt;MONTH($AH$7),"",IF(ISNA(VLOOKUP(N37,TAB_TAB_SOLEIL,18,FALSE)),"",VLOOKUP(N37,TAB_SOLEIL,18,FALSE)))</f>
        <v/>
      </c>
      <c r="P39" s="535"/>
      <c r="Q39" s="152"/>
      <c r="R39" s="151"/>
      <c r="S39" s="165" t="str">
        <f>IF(MONTH(S37)&lt;&gt;MONTH($AH$7),"",IF(ISNA(VLOOKUP(S37,TAB_LUNE,2,FALSE)),"",VLOOKUP(S37,TAB_LUNE,2,FALSE)))</f>
        <v/>
      </c>
      <c r="T39" s="534" t="str">
        <f>IF(MONTH(S37)&lt;&gt;MONTH($AH$7),"",IF(ISNA(VLOOKUP(S37,TAB_TAB_SOLEIL,18,FALSE)),"",VLOOKUP(S37,TAB_SOLEIL,18,FALSE)))</f>
        <v/>
      </c>
      <c r="U39" s="535"/>
      <c r="V39" s="152"/>
      <c r="W39" s="151"/>
      <c r="X39" s="165" t="str">
        <f>IF(MONTH(X37)&lt;&gt;MONTH($AH$7),"",IF(ISNA(VLOOKUP(X37,TAB_LUNE,2,FALSE)),"",VLOOKUP(X37,TAB_LUNE,2,FALSE)))</f>
        <v/>
      </c>
      <c r="Y39" s="534" t="str">
        <f>IF(MONTH(X37)&lt;&gt;MONTH($AH$7),"",IF(ISNA(VLOOKUP(X37,TAB_TAB_SOLEIL,18,FALSE)),"",VLOOKUP(X37,TAB_SOLEIL,18,FALSE)))</f>
        <v/>
      </c>
      <c r="Z39" s="535"/>
      <c r="AA39" s="152"/>
      <c r="AB39" s="151"/>
      <c r="AC39" s="165" t="str">
        <f>IF(MONTH(AC37)&lt;&gt;MONTH($AH$7),"",IF(ISNA(VLOOKUP(AC37,TAB_LUNE,2,FALSE)),"",VLOOKUP(AC37,TAB_LUNE,2,FALSE)))</f>
        <v/>
      </c>
      <c r="AD39" s="534" t="str">
        <f>IF(MONTH(AC37)&lt;&gt;MONTH($AH$7),"",IF(ISNA(VLOOKUP(AC37,TAB_TAB_SOLEIL,18,FALSE)),"",VLOOKUP(AC37,TAB_SOLEIL,18,FALSE)))</f>
        <v/>
      </c>
      <c r="AE39" s="535"/>
      <c r="AF39" s="152"/>
      <c r="AG39" s="151"/>
      <c r="AH39" s="165" t="str">
        <f>IF(MONTH(AH37)&lt;&gt;MONTH($AH$7),"",IF(ISNA(VLOOKUP(AH37,TAB_LUNE,2,FALSE)),"",VLOOKUP(AH37,TAB_LUNE,2,FALSE)))</f>
        <v/>
      </c>
      <c r="AI39" s="534" t="str">
        <f>IF(MONTH(AH37)&lt;&gt;MONTH($AH$7),"",IF(ISNA(VLOOKUP(AH37,TAB_TAB_SOLEIL,18,FALSE)),"",VLOOKUP(AH37,TAB_SOLEIL,18,FALSE)))</f>
        <v/>
      </c>
      <c r="AJ39" s="535"/>
      <c r="AK39" s="153"/>
    </row>
    <row r="40" spans="2:37" s="154" customFormat="1" x14ac:dyDescent="0.15">
      <c r="B40" s="150"/>
      <c r="C40" s="151"/>
      <c r="D40" s="533" t="str">
        <f>IF(MONTH(D37)&lt;&gt;MONTH($AH$7),"",IF(ISNA(VLOOKUP(D37,TAB_EVENT_PERSO,3,FALSE)),"",VLOOKUP(D37,TAB_EVENT_PERSO,3,FALSE)))</f>
        <v/>
      </c>
      <c r="E40" s="534"/>
      <c r="F40" s="535"/>
      <c r="G40" s="152"/>
      <c r="H40" s="151"/>
      <c r="I40" s="533" t="str">
        <f>IF(MONTH(I37)&lt;&gt;MONTH($AH$7),"",IF(ISNA(VLOOKUP(I37,TAB_EVENT_PERSO,3,FALSE)),"",VLOOKUP(I37,TAB_EVENT_PERSO,3,FALSE)))</f>
        <v/>
      </c>
      <c r="J40" s="534"/>
      <c r="K40" s="535"/>
      <c r="L40" s="152"/>
      <c r="M40" s="151"/>
      <c r="N40" s="533" t="str">
        <f>IF(MONTH(N37)&lt;&gt;MONTH($AH$7),"",IF(ISNA(VLOOKUP(N37,TAB_EVENT_PERSO,3,FALSE)),"",VLOOKUP(N37,TAB_EVENT_PERSO,3,FALSE)))</f>
        <v/>
      </c>
      <c r="O40" s="534"/>
      <c r="P40" s="535"/>
      <c r="Q40" s="152"/>
      <c r="R40" s="151"/>
      <c r="S40" s="533" t="str">
        <f>IF(MONTH(S37)&lt;&gt;MONTH($AH$7),"",IF(ISNA(VLOOKUP(S37,TAB_EVENT_PERSO,3,FALSE)),"",VLOOKUP(S37,TAB_EVENT_PERSO,3,FALSE)))</f>
        <v/>
      </c>
      <c r="T40" s="534"/>
      <c r="U40" s="535"/>
      <c r="V40" s="152"/>
      <c r="W40" s="151"/>
      <c r="X40" s="533" t="str">
        <f>IF(MONTH(X37)&lt;&gt;MONTH($AH$7),"",IF(ISNA(VLOOKUP(X37,TAB_EVENT_PERSO,3,FALSE)),"",VLOOKUP(X37,TAB_EVENT_PERSO,3,FALSE)))</f>
        <v/>
      </c>
      <c r="Y40" s="534"/>
      <c r="Z40" s="535"/>
      <c r="AA40" s="152"/>
      <c r="AB40" s="151"/>
      <c r="AC40" s="533" t="str">
        <f>IF(MONTH(AC37)&lt;&gt;MONTH($AH$7),"",IF(ISNA(VLOOKUP(AC37,TAB_EVENT_PERSO,3,FALSE)),"",VLOOKUP(AC37,TAB_EVENT_PERSO,3,FALSE)))</f>
        <v/>
      </c>
      <c r="AD40" s="534"/>
      <c r="AE40" s="535"/>
      <c r="AF40" s="152"/>
      <c r="AG40" s="151"/>
      <c r="AH40" s="533" t="str">
        <f>IF(MONTH(AH37)&lt;&gt;MONTH($AH$7),"",IF(ISNA(VLOOKUP(AH37,TAB_EVENT_PERSO,3,FALSE)),"",VLOOKUP(AH37,TAB_EVENT_PERSO,3,FALSE)))</f>
        <v/>
      </c>
      <c r="AI40" s="534"/>
      <c r="AJ40" s="535"/>
      <c r="AK40" s="153"/>
    </row>
    <row r="41" spans="2:37" s="113" customFormat="1" ht="40" customHeight="1" thickBot="1" x14ac:dyDescent="0.2">
      <c r="B41" s="134"/>
      <c r="C41" s="111"/>
      <c r="D41" s="536" t="str">
        <f>IF(MONTH(D37)&lt;&gt;MONTH($AH$7),"",IF(Calculs!$P$3=FALSE,"",VLOOKUP(DATE(,MONTH(D37),DAY(D37)),TAB_SAINTS,5,FALSE)))</f>
        <v/>
      </c>
      <c r="E41" s="537"/>
      <c r="F41" s="538"/>
      <c r="G41" s="143"/>
      <c r="H41" s="112"/>
      <c r="I41" s="536" t="str">
        <f>IF(MONTH(I37)&lt;&gt;MONTH($AH$7),"",IF(Calculs!$P$3=FALSE,"",VLOOKUP(DATE(,MONTH(I37),DAY(I37)),TAB_SAINTS,5,FALSE)))</f>
        <v/>
      </c>
      <c r="J41" s="537"/>
      <c r="K41" s="538"/>
      <c r="L41" s="143"/>
      <c r="M41" s="112"/>
      <c r="N41" s="536" t="str">
        <f>IF(MONTH(N37)&lt;&gt;MONTH($AH$7),"",IF(Calculs!$P$3=FALSE,"",VLOOKUP(DATE(,MONTH(N37),DAY(N37)),TAB_SAINTS,5,FALSE)))</f>
        <v/>
      </c>
      <c r="O41" s="537"/>
      <c r="P41" s="538"/>
      <c r="Q41" s="143"/>
      <c r="R41" s="112"/>
      <c r="S41" s="536" t="str">
        <f>IF(MONTH(S37)&lt;&gt;MONTH($AH$7),"",IF(Calculs!$P$3=FALSE,"",VLOOKUP(DATE(,MONTH(S37),DAY(S37)),TAB_SAINTS,5,FALSE)))</f>
        <v/>
      </c>
      <c r="T41" s="537"/>
      <c r="U41" s="538"/>
      <c r="V41" s="143"/>
      <c r="W41" s="112"/>
      <c r="X41" s="536" t="str">
        <f>IF(MONTH(X37)&lt;&gt;MONTH($AH$7),"",IF(Calculs!$P$3=FALSE,"",VLOOKUP(DATE(,MONTH(X37),DAY(X37)),TAB_SAINTS,5,FALSE)))</f>
        <v/>
      </c>
      <c r="Y41" s="537"/>
      <c r="Z41" s="538"/>
      <c r="AA41" s="143"/>
      <c r="AB41" s="112"/>
      <c r="AC41" s="536" t="str">
        <f>IF(MONTH(AC37)&lt;&gt;MONTH($AH$7),"",IF(Calculs!$P$3=FALSE,"",VLOOKUP(DATE(,MONTH(AC37),DAY(AC37)),TAB_SAINTS,5,FALSE)))</f>
        <v/>
      </c>
      <c r="AD41" s="537"/>
      <c r="AE41" s="538"/>
      <c r="AF41" s="143"/>
      <c r="AG41" s="112"/>
      <c r="AH41" s="536" t="str">
        <f>IF(MONTH(AH37)&lt;&gt;MONTH($AH$7),"",IF(Calculs!$P$3=FALSE,"",VLOOKUP(DATE(,MONTH(AH37),DAY(AH37)),TAB_SAINTS,5,FALSE)))</f>
        <v/>
      </c>
      <c r="AI41" s="537"/>
      <c r="AJ41" s="538"/>
      <c r="AK41" s="130"/>
    </row>
    <row r="42" spans="2:37" x14ac:dyDescent="0.15">
      <c r="B42" s="135"/>
      <c r="C42" s="136"/>
      <c r="D42" s="136"/>
      <c r="E42" s="136"/>
      <c r="F42" s="137"/>
      <c r="G42" s="137"/>
      <c r="H42" s="136"/>
      <c r="I42" s="136"/>
      <c r="J42" s="136"/>
      <c r="K42" s="137"/>
      <c r="L42" s="137"/>
      <c r="M42" s="136"/>
      <c r="N42" s="136"/>
      <c r="O42" s="136"/>
      <c r="P42" s="137"/>
      <c r="Q42" s="137"/>
      <c r="R42" s="136"/>
      <c r="S42" s="136"/>
      <c r="T42" s="136"/>
      <c r="U42" s="137"/>
      <c r="V42" s="137"/>
      <c r="W42" s="136"/>
      <c r="X42" s="136"/>
      <c r="Y42" s="136"/>
      <c r="Z42" s="137"/>
      <c r="AA42" s="137"/>
      <c r="AB42" s="136"/>
      <c r="AC42" s="136"/>
      <c r="AD42" s="136"/>
      <c r="AE42" s="137"/>
      <c r="AF42" s="137"/>
      <c r="AG42" s="136"/>
      <c r="AH42" s="136"/>
      <c r="AI42" s="136"/>
      <c r="AJ42" s="137"/>
      <c r="AK42" s="131"/>
    </row>
    <row r="45" spans="2:37" x14ac:dyDescent="0.15">
      <c r="I45"/>
      <c r="J45" s="160"/>
      <c r="K45"/>
      <c r="L45"/>
      <c r="M45"/>
      <c r="N45"/>
      <c r="O45"/>
      <c r="P45"/>
    </row>
    <row r="46" spans="2:37" x14ac:dyDescent="0.15">
      <c r="I46"/>
      <c r="J46" s="160"/>
      <c r="K46" s="396"/>
      <c r="L46"/>
      <c r="M46"/>
      <c r="N46"/>
      <c r="O46"/>
      <c r="P46"/>
    </row>
    <row r="47" spans="2:37" x14ac:dyDescent="0.15">
      <c r="I47"/>
      <c r="J47" s="160"/>
      <c r="K47"/>
      <c r="L47"/>
      <c r="M47"/>
      <c r="N47"/>
      <c r="O47"/>
      <c r="P47"/>
    </row>
    <row r="48" spans="2:37" x14ac:dyDescent="0.15">
      <c r="I48"/>
      <c r="J48" s="160"/>
      <c r="K48"/>
      <c r="L48"/>
      <c r="M48"/>
      <c r="N48"/>
      <c r="O48"/>
      <c r="P48"/>
    </row>
    <row r="49" spans="9:16" x14ac:dyDescent="0.15">
      <c r="I49"/>
      <c r="J49" s="160"/>
      <c r="K49"/>
      <c r="L49"/>
      <c r="M49"/>
      <c r="N49"/>
      <c r="O49"/>
      <c r="P49"/>
    </row>
    <row r="50" spans="9:16" x14ac:dyDescent="0.15">
      <c r="I50"/>
      <c r="J50" s="160"/>
      <c r="K50"/>
      <c r="L50"/>
      <c r="M50"/>
      <c r="N50"/>
      <c r="O50"/>
      <c r="P50"/>
    </row>
    <row r="51" spans="9:16" x14ac:dyDescent="0.15">
      <c r="I51"/>
      <c r="J51" s="160"/>
      <c r="K51"/>
      <c r="L51"/>
      <c r="M51"/>
      <c r="N51"/>
      <c r="O51"/>
      <c r="P51"/>
    </row>
    <row r="52" spans="9:16" x14ac:dyDescent="0.15">
      <c r="I52"/>
      <c r="J52" s="160"/>
      <c r="K52"/>
      <c r="L52"/>
      <c r="M52"/>
      <c r="N52"/>
      <c r="O52"/>
      <c r="P52"/>
    </row>
    <row r="53" spans="9:16" x14ac:dyDescent="0.15">
      <c r="I53"/>
      <c r="J53" s="160"/>
      <c r="K53"/>
      <c r="L53"/>
      <c r="M53"/>
      <c r="N53"/>
      <c r="O53"/>
      <c r="P53"/>
    </row>
    <row r="54" spans="9:16" x14ac:dyDescent="0.15">
      <c r="I54"/>
      <c r="J54" s="160"/>
      <c r="K54"/>
      <c r="L54"/>
      <c r="M54"/>
      <c r="N54"/>
      <c r="O54"/>
      <c r="P54"/>
    </row>
    <row r="55" spans="9:16" x14ac:dyDescent="0.15">
      <c r="I55"/>
      <c r="J55" s="160"/>
      <c r="K55"/>
      <c r="L55"/>
      <c r="M55"/>
      <c r="N55"/>
      <c r="O55"/>
      <c r="P55"/>
    </row>
    <row r="56" spans="9:16" x14ac:dyDescent="0.15">
      <c r="I56"/>
      <c r="J56" s="160"/>
      <c r="K56"/>
      <c r="L56"/>
      <c r="M56"/>
      <c r="N56"/>
      <c r="O56"/>
      <c r="P56"/>
    </row>
    <row r="57" spans="9:16" x14ac:dyDescent="0.15">
      <c r="I57"/>
      <c r="J57" s="160"/>
      <c r="K57"/>
      <c r="L57"/>
      <c r="M57"/>
      <c r="N57"/>
      <c r="O57"/>
      <c r="P57"/>
    </row>
    <row r="58" spans="9:16" x14ac:dyDescent="0.15">
      <c r="I58"/>
      <c r="J58" s="160"/>
      <c r="K58"/>
      <c r="L58"/>
      <c r="M58"/>
      <c r="N58"/>
      <c r="O58"/>
      <c r="P58"/>
    </row>
    <row r="59" spans="9:16" x14ac:dyDescent="0.15">
      <c r="I59"/>
      <c r="J59" s="160"/>
      <c r="K59"/>
      <c r="L59"/>
      <c r="M59"/>
      <c r="N59"/>
      <c r="O59"/>
      <c r="P59"/>
    </row>
    <row r="60" spans="9:16" x14ac:dyDescent="0.15">
      <c r="I60"/>
      <c r="J60" s="160"/>
      <c r="K60"/>
      <c r="L60"/>
      <c r="M60"/>
      <c r="N60"/>
      <c r="O60"/>
      <c r="P60"/>
    </row>
    <row r="61" spans="9:16" x14ac:dyDescent="0.15">
      <c r="I61"/>
      <c r="J61" s="160"/>
      <c r="K61"/>
      <c r="L61"/>
      <c r="M61"/>
      <c r="N61"/>
      <c r="O61"/>
      <c r="P61"/>
    </row>
    <row r="62" spans="9:16" x14ac:dyDescent="0.15">
      <c r="I62"/>
      <c r="J62" s="160"/>
      <c r="K62"/>
      <c r="L62"/>
      <c r="M62"/>
      <c r="N62"/>
      <c r="O62"/>
      <c r="P62"/>
    </row>
    <row r="63" spans="9:16" x14ac:dyDescent="0.15">
      <c r="I63"/>
      <c r="J63" s="160"/>
      <c r="K63"/>
      <c r="L63"/>
      <c r="M63"/>
      <c r="N63"/>
      <c r="O63"/>
      <c r="P63"/>
    </row>
    <row r="64" spans="9:16" x14ac:dyDescent="0.15">
      <c r="I64"/>
      <c r="J64" s="160"/>
      <c r="K64"/>
      <c r="L64"/>
      <c r="M64"/>
      <c r="N64"/>
      <c r="O64"/>
      <c r="P64"/>
    </row>
    <row r="65" spans="9:16" x14ac:dyDescent="0.15">
      <c r="I65"/>
      <c r="J65" s="160"/>
      <c r="K65"/>
      <c r="L65"/>
      <c r="M65"/>
      <c r="N65"/>
      <c r="O65"/>
      <c r="P65"/>
    </row>
  </sheetData>
  <sheetProtection sheet="1" objects="1" scenarios="1"/>
  <mergeCells count="219">
    <mergeCell ref="D7:D8"/>
    <mergeCell ref="I7:I8"/>
    <mergeCell ref="N7:N8"/>
    <mergeCell ref="S7:S8"/>
    <mergeCell ref="X7:X8"/>
    <mergeCell ref="AC7:AC8"/>
    <mergeCell ref="D3:I3"/>
    <mergeCell ref="V3:AJ3"/>
    <mergeCell ref="D5:F5"/>
    <mergeCell ref="I5:K5"/>
    <mergeCell ref="N5:P5"/>
    <mergeCell ref="S5:U5"/>
    <mergeCell ref="X5:Z5"/>
    <mergeCell ref="AC5:AE5"/>
    <mergeCell ref="AH5:AJ5"/>
    <mergeCell ref="AI8:AJ8"/>
    <mergeCell ref="E9:F9"/>
    <mergeCell ref="J9:K9"/>
    <mergeCell ref="O9:P9"/>
    <mergeCell ref="T9:U9"/>
    <mergeCell ref="Y9:Z9"/>
    <mergeCell ref="AD9:AE9"/>
    <mergeCell ref="AI9:AJ9"/>
    <mergeCell ref="AH7:AH8"/>
    <mergeCell ref="E8:F8"/>
    <mergeCell ref="J8:K8"/>
    <mergeCell ref="O8:P8"/>
    <mergeCell ref="T8:U8"/>
    <mergeCell ref="Y8:Z8"/>
    <mergeCell ref="AD8:AE8"/>
    <mergeCell ref="D13:D14"/>
    <mergeCell ref="I13:I14"/>
    <mergeCell ref="N13:N14"/>
    <mergeCell ref="S13:S14"/>
    <mergeCell ref="X13:X14"/>
    <mergeCell ref="AC13:AC14"/>
    <mergeCell ref="AH10:AJ10"/>
    <mergeCell ref="D11:F11"/>
    <mergeCell ref="I11:K11"/>
    <mergeCell ref="N11:P11"/>
    <mergeCell ref="S11:U11"/>
    <mergeCell ref="X11:Z11"/>
    <mergeCell ref="AC11:AE11"/>
    <mergeCell ref="AH11:AJ11"/>
    <mergeCell ref="D10:F10"/>
    <mergeCell ref="I10:K10"/>
    <mergeCell ref="N10:P10"/>
    <mergeCell ref="S10:U10"/>
    <mergeCell ref="X10:Z10"/>
    <mergeCell ref="AC10:AE10"/>
    <mergeCell ref="AI14:AJ14"/>
    <mergeCell ref="E15:F15"/>
    <mergeCell ref="J15:K15"/>
    <mergeCell ref="O15:P15"/>
    <mergeCell ref="T15:U15"/>
    <mergeCell ref="Y15:Z15"/>
    <mergeCell ref="AD15:AE15"/>
    <mergeCell ref="AI15:AJ15"/>
    <mergeCell ref="AH13:AH14"/>
    <mergeCell ref="E14:F14"/>
    <mergeCell ref="J14:K14"/>
    <mergeCell ref="O14:P14"/>
    <mergeCell ref="T14:U14"/>
    <mergeCell ref="Y14:Z14"/>
    <mergeCell ref="AD14:AE14"/>
    <mergeCell ref="D19:D20"/>
    <mergeCell ref="I19:I20"/>
    <mergeCell ref="N19:N20"/>
    <mergeCell ref="S19:S20"/>
    <mergeCell ref="X19:X20"/>
    <mergeCell ref="AC19:AC20"/>
    <mergeCell ref="AH16:AJ16"/>
    <mergeCell ref="D17:F17"/>
    <mergeCell ref="I17:K17"/>
    <mergeCell ref="N17:P17"/>
    <mergeCell ref="S17:U17"/>
    <mergeCell ref="X17:Z17"/>
    <mergeCell ref="AC17:AE17"/>
    <mergeCell ref="AH17:AJ17"/>
    <mergeCell ref="D16:F16"/>
    <mergeCell ref="I16:K16"/>
    <mergeCell ref="N16:P16"/>
    <mergeCell ref="S16:U16"/>
    <mergeCell ref="X16:Z16"/>
    <mergeCell ref="AC16:AE16"/>
    <mergeCell ref="AI20:AJ20"/>
    <mergeCell ref="E21:F21"/>
    <mergeCell ref="J21:K21"/>
    <mergeCell ref="O21:P21"/>
    <mergeCell ref="T21:U21"/>
    <mergeCell ref="Y21:Z21"/>
    <mergeCell ref="AD21:AE21"/>
    <mergeCell ref="AI21:AJ21"/>
    <mergeCell ref="AH19:AH20"/>
    <mergeCell ref="E20:F20"/>
    <mergeCell ref="J20:K20"/>
    <mergeCell ref="O20:P20"/>
    <mergeCell ref="T20:U20"/>
    <mergeCell ref="Y20:Z20"/>
    <mergeCell ref="AD20:AE20"/>
    <mergeCell ref="D25:D26"/>
    <mergeCell ref="I25:I26"/>
    <mergeCell ref="N25:N26"/>
    <mergeCell ref="S25:S26"/>
    <mergeCell ref="X25:X26"/>
    <mergeCell ref="AC25:AC26"/>
    <mergeCell ref="AH22:AJ22"/>
    <mergeCell ref="D23:F23"/>
    <mergeCell ref="I23:K23"/>
    <mergeCell ref="N23:P23"/>
    <mergeCell ref="S23:U23"/>
    <mergeCell ref="X23:Z23"/>
    <mergeCell ref="AC23:AE23"/>
    <mergeCell ref="AH23:AJ23"/>
    <mergeCell ref="D22:F22"/>
    <mergeCell ref="I22:K22"/>
    <mergeCell ref="N22:P22"/>
    <mergeCell ref="S22:U22"/>
    <mergeCell ref="X22:Z22"/>
    <mergeCell ref="AC22:AE22"/>
    <mergeCell ref="AI26:AJ26"/>
    <mergeCell ref="E27:F27"/>
    <mergeCell ref="J27:K27"/>
    <mergeCell ref="O27:P27"/>
    <mergeCell ref="T27:U27"/>
    <mergeCell ref="Y27:Z27"/>
    <mergeCell ref="AD27:AE27"/>
    <mergeCell ref="AI27:AJ27"/>
    <mergeCell ref="AH25:AH26"/>
    <mergeCell ref="E26:F26"/>
    <mergeCell ref="J26:K26"/>
    <mergeCell ref="O26:P26"/>
    <mergeCell ref="T26:U26"/>
    <mergeCell ref="Y26:Z26"/>
    <mergeCell ref="AD26:AE26"/>
    <mergeCell ref="D31:D32"/>
    <mergeCell ref="I31:I32"/>
    <mergeCell ref="N31:N32"/>
    <mergeCell ref="S31:S32"/>
    <mergeCell ref="X31:X32"/>
    <mergeCell ref="AC31:AC32"/>
    <mergeCell ref="AH28:AJ28"/>
    <mergeCell ref="D29:F29"/>
    <mergeCell ref="I29:K29"/>
    <mergeCell ref="N29:P29"/>
    <mergeCell ref="S29:U29"/>
    <mergeCell ref="X29:Z29"/>
    <mergeCell ref="AC29:AE29"/>
    <mergeCell ref="AH29:AJ29"/>
    <mergeCell ref="D28:F28"/>
    <mergeCell ref="I28:K28"/>
    <mergeCell ref="N28:P28"/>
    <mergeCell ref="S28:U28"/>
    <mergeCell ref="X28:Z28"/>
    <mergeCell ref="AC28:AE28"/>
    <mergeCell ref="AI32:AJ32"/>
    <mergeCell ref="E33:F33"/>
    <mergeCell ref="J33:K33"/>
    <mergeCell ref="O33:P33"/>
    <mergeCell ref="T33:U33"/>
    <mergeCell ref="Y33:Z33"/>
    <mergeCell ref="AD33:AE33"/>
    <mergeCell ref="AI33:AJ33"/>
    <mergeCell ref="AH31:AH32"/>
    <mergeCell ref="E32:F32"/>
    <mergeCell ref="J32:K32"/>
    <mergeCell ref="O32:P32"/>
    <mergeCell ref="T32:U32"/>
    <mergeCell ref="Y32:Z32"/>
    <mergeCell ref="AD32:AE32"/>
    <mergeCell ref="D37:D38"/>
    <mergeCell ref="I37:I38"/>
    <mergeCell ref="N37:N38"/>
    <mergeCell ref="S37:S38"/>
    <mergeCell ref="X37:X38"/>
    <mergeCell ref="AC37:AC38"/>
    <mergeCell ref="AH34:AJ34"/>
    <mergeCell ref="D35:F35"/>
    <mergeCell ref="I35:K35"/>
    <mergeCell ref="N35:P35"/>
    <mergeCell ref="S35:U35"/>
    <mergeCell ref="X35:Z35"/>
    <mergeCell ref="AC35:AE35"/>
    <mergeCell ref="AH35:AJ35"/>
    <mergeCell ref="D34:F34"/>
    <mergeCell ref="I34:K34"/>
    <mergeCell ref="N34:P34"/>
    <mergeCell ref="S34:U34"/>
    <mergeCell ref="X34:Z34"/>
    <mergeCell ref="AC34:AE34"/>
    <mergeCell ref="AI38:AJ38"/>
    <mergeCell ref="E39:F39"/>
    <mergeCell ref="J39:K39"/>
    <mergeCell ref="O39:P39"/>
    <mergeCell ref="T39:U39"/>
    <mergeCell ref="Y39:Z39"/>
    <mergeCell ref="AD39:AE39"/>
    <mergeCell ref="AI39:AJ39"/>
    <mergeCell ref="AH37:AH38"/>
    <mergeCell ref="E38:F38"/>
    <mergeCell ref="J38:K38"/>
    <mergeCell ref="O38:P38"/>
    <mergeCell ref="T38:U38"/>
    <mergeCell ref="Y38:Z38"/>
    <mergeCell ref="AD38:AE38"/>
    <mergeCell ref="AH40:AJ40"/>
    <mergeCell ref="D41:F41"/>
    <mergeCell ref="I41:K41"/>
    <mergeCell ref="N41:P41"/>
    <mergeCell ref="S41:U41"/>
    <mergeCell ref="X41:Z41"/>
    <mergeCell ref="AC41:AE41"/>
    <mergeCell ref="AH41:AJ41"/>
    <mergeCell ref="D40:F40"/>
    <mergeCell ref="I40:K40"/>
    <mergeCell ref="N40:P40"/>
    <mergeCell ref="S40:U40"/>
    <mergeCell ref="X40:Z40"/>
    <mergeCell ref="AC40:AE40"/>
  </mergeCells>
  <phoneticPr fontId="7" type="noConversion"/>
  <conditionalFormatting sqref="L7 Q7 V7 AA7 AF7 G7 L13 Q13 V13 AA13 AF13 G13 L19 Q19 V19 AA19 AF19 G19 L25 Q25 V25 AA25 AF25 G25 L31 Q31 V31 AA31 AF31 G31 G37 L37 Q37 V37 AA37 AF37">
    <cfRule type="expression" dxfId="4304" priority="895" stopIfTrue="1">
      <formula>IF(AND(OR(WEEKDAY(G7)=1,G9&lt;&gt;""),G7&lt;&gt;""),TRUE)</formula>
    </cfRule>
  </conditionalFormatting>
  <conditionalFormatting sqref="G39:H40 L39:M40 Q39:R40 V39:W40 AA39:AB40 AF39:AG40">
    <cfRule type="expression" dxfId="4303" priority="896" stopIfTrue="1">
      <formula>IF(AND(OR(WEEKDAY(G37)=1,G39&lt;&gt;""),G37&lt;&gt;""),TRUE)</formula>
    </cfRule>
  </conditionalFormatting>
  <conditionalFormatting sqref="F36:AJ36">
    <cfRule type="expression" dxfId="4302" priority="897" stopIfTrue="1">
      <formula>IF(AND(OR(WEEKDAY(F33)=1,F35&lt;&gt;""),F33&lt;&gt;""),TRUE)</formula>
    </cfRule>
  </conditionalFormatting>
  <conditionalFormatting sqref="G41:H41 L41:M41 Q41:R41 V41:W41 AA41:AB41 AF41:AG41">
    <cfRule type="expression" dxfId="4301" priority="898" stopIfTrue="1">
      <formula>IF(AND(OR(WEEKDAY(G37)=1,G39&lt;&gt;""),G37&lt;&gt;""),TRUE)</formula>
    </cfRule>
  </conditionalFormatting>
  <conditionalFormatting sqref="L9:M10 Q9:R10 V9:W10 AA9:AB10 AF9:AG10 G9:H10 L15:M16 Q15:R16 V15:W16 AA15:AB16 AF15:AG16 G15:H16 AA21:AB22 V21:W22 Q21:R22 L21:M22 G21:H22 AF21:AG22 L27:M28 Q27:R28 V27:W28 AA27:AB28 AF27:AG28 G27:H28 AA33:AB34 V33:W34 Q33:R34 L33:M34 G33:H34 AF33:AG34">
    <cfRule type="expression" dxfId="4300" priority="899" stopIfTrue="1">
      <formula>IF(AND(OR(WEEKDAY(G7)=1,G9&lt;&gt;""),G7&lt;&gt;""),TRUE)</formula>
    </cfRule>
  </conditionalFormatting>
  <conditionalFormatting sqref="F12:AJ12 F18:AJ18 F24:AJ24 F30:AJ30">
    <cfRule type="expression" dxfId="4299" priority="900" stopIfTrue="1">
      <formula>IF(AND(OR(WEEKDAY(F9)=1,F11&lt;&gt;""),F9&lt;&gt;""),TRUE)</formula>
    </cfRule>
  </conditionalFormatting>
  <conditionalFormatting sqref="K3">
    <cfRule type="expression" dxfId="4298" priority="894">
      <formula>$Z$2&lt;&gt;""</formula>
    </cfRule>
  </conditionalFormatting>
  <conditionalFormatting sqref="V3">
    <cfRule type="expression" dxfId="4297" priority="893">
      <formula>$Z$2&lt;&gt;""</formula>
    </cfRule>
  </conditionalFormatting>
  <conditionalFormatting sqref="L8 Q8 V8 AA8 AF8 G8 L14 Q14 V14 AA14 AF14 G14 L20 Q20 V20 AA20 AF20 G20 L26 Q26 V26 AA26 AF26 G26 L32 Q32 V32 AA32 AF32 G32 G38 L38 Q38 V38 AA38 AF38">
    <cfRule type="expression" dxfId="4296" priority="901" stopIfTrue="1">
      <formula>IF(AND(OR(WEEKDAY(G8)=1,G11&lt;&gt;""),G8&lt;&gt;""),TRUE)</formula>
    </cfRule>
  </conditionalFormatting>
  <conditionalFormatting sqref="Q11:R11 V11:W11 AA11:AB11 AF11:AG11 G11:H11 L11:M11 Q17:R17 V17:W17 AA17:AB17 AF17:AG17 G17:H17 L17:M17 V23:W23 Q23:R23 L23:M23 G23:H23 AF23:AG23 AA23:AB23 Q29:R29 V29:W29 AA29:AB29 AF29:AG29 G29:H29 L29:M29 V35:W35 Q35:R35 L35:M35 G35:H35 AF35:AG35 AA35:AB35">
    <cfRule type="expression" dxfId="4295" priority="902" stopIfTrue="1">
      <formula>IF(AND(OR(WEEKDAY(G7)=1,G9&lt;&gt;""),G7&lt;&gt;""),TRUE)</formula>
    </cfRule>
  </conditionalFormatting>
  <conditionalFormatting sqref="X11:Z11">
    <cfRule type="expression" dxfId="4294" priority="794">
      <formula>MONTH(X7)=MONTH($AH$7)</formula>
    </cfRule>
  </conditionalFormatting>
  <conditionalFormatting sqref="X7">
    <cfRule type="expression" dxfId="4293" priority="788">
      <formula>AND(OR(X$5="Samedi",X$5="Dimanche",W7="F"),MONTH(X7)=MONTH($AH$7))</formula>
    </cfRule>
    <cfRule type="expression" dxfId="4292" priority="792">
      <formula>MONTH(X7)=MONTH($AH$7)</formula>
    </cfRule>
  </conditionalFormatting>
  <conditionalFormatting sqref="Y7">
    <cfRule type="expression" dxfId="4291" priority="787">
      <formula>AND(OR(X$5="Samedi",X$5="Dimanche",W7="F"),MONTH(X7)=MONTH($AH$7))</formula>
    </cfRule>
    <cfRule type="expression" dxfId="4290" priority="791">
      <formula>MONTH(X7)=MONTH($AH$7)</formula>
    </cfRule>
  </conditionalFormatting>
  <conditionalFormatting sqref="Z7">
    <cfRule type="expression" dxfId="4289" priority="786">
      <formula>AND(OR(X$5="Samedi",X$5="Dimanche",W7="F"),MONTH(X7)=MONTH($AH$7))</formula>
    </cfRule>
    <cfRule type="expression" dxfId="4288" priority="790">
      <formula>MONTH(X7)=MONTH($AH$7)</formula>
    </cfRule>
  </conditionalFormatting>
  <conditionalFormatting sqref="Y8:Z8">
    <cfRule type="expression" dxfId="4287" priority="785">
      <formula>AND(OR(X$5="Samedi",X$5="Dimanche",W7="F"),MONTH(X7)=MONTH($AH$7))</formula>
    </cfRule>
    <cfRule type="expression" dxfId="4286" priority="789">
      <formula>MONTH(X7)=MONTH($AH$7)</formula>
    </cfRule>
  </conditionalFormatting>
  <conditionalFormatting sqref="X10:Z10">
    <cfRule type="expression" dxfId="4285" priority="783">
      <formula>AND(OR(X$5="Samedi",X$5="Dimanche",W7="F"),MONTH(X7)=MONTH($AH$7))</formula>
    </cfRule>
    <cfRule type="expression" dxfId="4284" priority="784">
      <formula>MONTH(X7)=MONTH($AH$7)</formula>
    </cfRule>
  </conditionalFormatting>
  <conditionalFormatting sqref="X11:Z11">
    <cfRule type="expression" dxfId="4283" priority="793">
      <formula>AND(OR(X$5="Samedi",X$5="Dimanche",W7="F"),MONTH(X7)=MONTH($AH$7))</formula>
    </cfRule>
  </conditionalFormatting>
  <conditionalFormatting sqref="Y9:Z9">
    <cfRule type="expression" dxfId="4282" priority="781">
      <formula>AND(OR(X$5="Samedi",X$5="Dimanche",W7="F"),MONTH(X7)=MONTH($AH$7))</formula>
    </cfRule>
    <cfRule type="expression" dxfId="4281" priority="782">
      <formula>MONTH(X7)=MONTH($AH$7)</formula>
    </cfRule>
  </conditionalFormatting>
  <conditionalFormatting sqref="X9">
    <cfRule type="expression" dxfId="4280" priority="711">
      <formula>AND(OR(X$5="Samedi",X$5="Dimanche",W7="F"),MONTH(X7)=MONTH($AH$7))</formula>
    </cfRule>
    <cfRule type="expression" dxfId="4279" priority="712">
      <formula>MONTH(X7)=MONTH($AH$7)</formula>
    </cfRule>
  </conditionalFormatting>
  <conditionalFormatting sqref="D11:F11">
    <cfRule type="expression" dxfId="4278" priority="697">
      <formula>MONTH(D7)=MONTH($AH$7)</formula>
    </cfRule>
  </conditionalFormatting>
  <conditionalFormatting sqref="D7">
    <cfRule type="expression" dxfId="4277" priority="691">
      <formula>AND(OR(D$5="Samedi",D$5="Dimanche",C7="F"),MONTH(D7)=MONTH($AH$7))</formula>
    </cfRule>
    <cfRule type="expression" dxfId="4276" priority="695">
      <formula>MONTH(D7)=MONTH($AH$7)</formula>
    </cfRule>
  </conditionalFormatting>
  <conditionalFormatting sqref="E7">
    <cfRule type="expression" dxfId="4275" priority="690">
      <formula>AND(OR(D$5="Samedi",D$5="Dimanche",C7="F"),MONTH(D7)=MONTH($AH$7))</formula>
    </cfRule>
    <cfRule type="expression" dxfId="4274" priority="694">
      <formula>MONTH(D7)=MONTH($AH$7)</formula>
    </cfRule>
  </conditionalFormatting>
  <conditionalFormatting sqref="F7">
    <cfRule type="expression" dxfId="4273" priority="689">
      <formula>AND(OR(D$5="Samedi",D$5="Dimanche",C7="F"),MONTH(D7)=MONTH($AH$7))</formula>
    </cfRule>
    <cfRule type="expression" dxfId="4272" priority="693">
      <formula>MONTH(D7)=MONTH($AH$7)</formula>
    </cfRule>
  </conditionalFormatting>
  <conditionalFormatting sqref="E8:F8">
    <cfRule type="expression" dxfId="4271" priority="688">
      <formula>AND(OR(D$5="Samedi",D$5="Dimanche",C7="F"),MONTH(D7)=MONTH($AH$7))</formula>
    </cfRule>
    <cfRule type="expression" dxfId="4270" priority="692">
      <formula>MONTH(D7)=MONTH($AH$7)</formula>
    </cfRule>
  </conditionalFormatting>
  <conditionalFormatting sqref="D10:F10">
    <cfRule type="expression" dxfId="4269" priority="686">
      <formula>AND(OR(D$5="Samedi",D$5="Dimanche",C7="F"),MONTH(D7)=MONTH($AH$7))</formula>
    </cfRule>
    <cfRule type="expression" dxfId="4268" priority="687">
      <formula>MONTH(D7)=MONTH($AH$7)</formula>
    </cfRule>
  </conditionalFormatting>
  <conditionalFormatting sqref="D11:F11">
    <cfRule type="expression" dxfId="4267" priority="696">
      <formula>AND(OR(D$5="Samedi",D$5="Dimanche",C7="F"),MONTH(D7)=MONTH($AH$7))</formula>
    </cfRule>
  </conditionalFormatting>
  <conditionalFormatting sqref="E9:F9">
    <cfRule type="expression" dxfId="4266" priority="684">
      <formula>AND(OR(D$5="Samedi",D$5="Dimanche",C7="F"),MONTH(D7)=MONTH($AH$7))</formula>
    </cfRule>
    <cfRule type="expression" dxfId="4265" priority="685">
      <formula>MONTH(D7)=MONTH($AH$7)</formula>
    </cfRule>
  </conditionalFormatting>
  <conditionalFormatting sqref="D9">
    <cfRule type="expression" dxfId="4264" priority="681">
      <formula>AND(OR(D$5="Samedi",D$5="Dimanche",C7="F"),MONTH(D7)=MONTH($AH$7))</formula>
    </cfRule>
    <cfRule type="expression" dxfId="4263" priority="682">
      <formula>MONTH(D7)=MONTH($AH$7)</formula>
    </cfRule>
  </conditionalFormatting>
  <conditionalFormatting sqref="I11:K11">
    <cfRule type="expression" dxfId="4262" priority="680">
      <formula>MONTH(I7)=MONTH($AH$7)</formula>
    </cfRule>
  </conditionalFormatting>
  <conditionalFormatting sqref="I7">
    <cfRule type="expression" dxfId="4261" priority="674">
      <formula>AND(OR(I$5="Samedi",I$5="Dimanche",H7="F"),MONTH(I7)=MONTH($AH$7))</formula>
    </cfRule>
    <cfRule type="expression" dxfId="4260" priority="678">
      <formula>MONTH(I7)=MONTH($AH$7)</formula>
    </cfRule>
  </conditionalFormatting>
  <conditionalFormatting sqref="J7">
    <cfRule type="expression" dxfId="4259" priority="673">
      <formula>AND(OR(I$5="Samedi",I$5="Dimanche",H7="F"),MONTH(I7)=MONTH($AH$7))</formula>
    </cfRule>
    <cfRule type="expression" dxfId="4258" priority="677">
      <formula>MONTH(I7)=MONTH($AH$7)</formula>
    </cfRule>
  </conditionalFormatting>
  <conditionalFormatting sqref="K7">
    <cfRule type="expression" dxfId="4257" priority="672">
      <formula>AND(OR(I$5="Samedi",I$5="Dimanche",H7="F"),MONTH(I7)=MONTH($AH$7))</formula>
    </cfRule>
    <cfRule type="expression" dxfId="4256" priority="676">
      <formula>MONTH(I7)=MONTH($AH$7)</formula>
    </cfRule>
  </conditionalFormatting>
  <conditionalFormatting sqref="J8:K8">
    <cfRule type="expression" dxfId="4255" priority="671">
      <formula>AND(OR(I$5="Samedi",I$5="Dimanche",H7="F"),MONTH(I7)=MONTH($AH$7))</formula>
    </cfRule>
    <cfRule type="expression" dxfId="4254" priority="675">
      <formula>MONTH(I7)=MONTH($AH$7)</formula>
    </cfRule>
  </conditionalFormatting>
  <conditionalFormatting sqref="I10:K10">
    <cfRule type="expression" dxfId="4253" priority="669">
      <formula>AND(OR(I$5="Samedi",I$5="Dimanche",H7="F"),MONTH(I7)=MONTH($AH$7))</formula>
    </cfRule>
    <cfRule type="expression" dxfId="4252" priority="670">
      <formula>MONTH(I7)=MONTH($AH$7)</formula>
    </cfRule>
  </conditionalFormatting>
  <conditionalFormatting sqref="I11:K11">
    <cfRule type="expression" dxfId="4251" priority="679">
      <formula>AND(OR(I$5="Samedi",I$5="Dimanche",H7="F"),MONTH(I7)=MONTH($AH$7))</formula>
    </cfRule>
  </conditionalFormatting>
  <conditionalFormatting sqref="J9:K9">
    <cfRule type="expression" dxfId="4250" priority="667">
      <formula>AND(OR(I$5="Samedi",I$5="Dimanche",H7="F"),MONTH(I7)=MONTH($AH$7))</formula>
    </cfRule>
    <cfRule type="expression" dxfId="4249" priority="668">
      <formula>MONTH(I7)=MONTH($AH$7)</formula>
    </cfRule>
  </conditionalFormatting>
  <conditionalFormatting sqref="I9">
    <cfRule type="expression" dxfId="4248" priority="664">
      <formula>AND(OR(I$5="Samedi",I$5="Dimanche",H7="F"),MONTH(I7)=MONTH($AH$7))</formula>
    </cfRule>
    <cfRule type="expression" dxfId="4247" priority="665">
      <formula>MONTH(I7)=MONTH($AH$7)</formula>
    </cfRule>
  </conditionalFormatting>
  <conditionalFormatting sqref="N11:P11">
    <cfRule type="expression" dxfId="4246" priority="663">
      <formula>MONTH(N7)=MONTH($AH$7)</formula>
    </cfRule>
  </conditionalFormatting>
  <conditionalFormatting sqref="N7">
    <cfRule type="expression" dxfId="4245" priority="657">
      <formula>AND(OR(N$5="Samedi",N$5="Dimanche",M7="F"),MONTH(N7)=MONTH($AH$7))</formula>
    </cfRule>
    <cfRule type="expression" dxfId="4244" priority="661">
      <formula>MONTH(N7)=MONTH($AH$7)</formula>
    </cfRule>
  </conditionalFormatting>
  <conditionalFormatting sqref="O7">
    <cfRule type="expression" dxfId="4243" priority="656">
      <formula>AND(OR(N$5="Samedi",N$5="Dimanche",M7="F"),MONTH(N7)=MONTH($AH$7))</formula>
    </cfRule>
    <cfRule type="expression" dxfId="4242" priority="660">
      <formula>MONTH(N7)=MONTH($AH$7)</formula>
    </cfRule>
  </conditionalFormatting>
  <conditionalFormatting sqref="P7">
    <cfRule type="expression" dxfId="4241" priority="655">
      <formula>AND(OR(N$5="Samedi",N$5="Dimanche",M7="F"),MONTH(N7)=MONTH($AH$7))</formula>
    </cfRule>
    <cfRule type="expression" dxfId="4240" priority="659">
      <formula>MONTH(N7)=MONTH($AH$7)</formula>
    </cfRule>
  </conditionalFormatting>
  <conditionalFormatting sqref="O8:P8">
    <cfRule type="expression" dxfId="4239" priority="654">
      <formula>AND(OR(N$5="Samedi",N$5="Dimanche",M7="F"),MONTH(N7)=MONTH($AH$7))</formula>
    </cfRule>
    <cfRule type="expression" dxfId="4238" priority="658">
      <formula>MONTH(N7)=MONTH($AH$7)</formula>
    </cfRule>
  </conditionalFormatting>
  <conditionalFormatting sqref="N10:P10">
    <cfRule type="expression" dxfId="4237" priority="652">
      <formula>AND(OR(N$5="Samedi",N$5="Dimanche",M7="F"),MONTH(N7)=MONTH($AH$7))</formula>
    </cfRule>
    <cfRule type="expression" dxfId="4236" priority="653">
      <formula>MONTH(N7)=MONTH($AH$7)</formula>
    </cfRule>
  </conditionalFormatting>
  <conditionalFormatting sqref="N11:P11">
    <cfRule type="expression" dxfId="4235" priority="662">
      <formula>AND(OR(N$5="Samedi",N$5="Dimanche",M7="F"),MONTH(N7)=MONTH($AH$7))</formula>
    </cfRule>
  </conditionalFormatting>
  <conditionalFormatting sqref="O9:P9">
    <cfRule type="expression" dxfId="4234" priority="650">
      <formula>AND(OR(N$5="Samedi",N$5="Dimanche",M7="F"),MONTH(N7)=MONTH($AH$7))</formula>
    </cfRule>
    <cfRule type="expression" dxfId="4233" priority="651">
      <formula>MONTH(N7)=MONTH($AH$7)</formula>
    </cfRule>
  </conditionalFormatting>
  <conditionalFormatting sqref="N9">
    <cfRule type="expression" dxfId="4232" priority="647">
      <formula>AND(OR(N$5="Samedi",N$5="Dimanche",M7="F"),MONTH(N7)=MONTH($AH$7))</formula>
    </cfRule>
    <cfRule type="expression" dxfId="4231" priority="648">
      <formula>MONTH(N7)=MONTH($AH$7)</formula>
    </cfRule>
  </conditionalFormatting>
  <conditionalFormatting sqref="S11:U11">
    <cfRule type="expression" dxfId="4230" priority="646">
      <formula>MONTH(S7)=MONTH($AH$7)</formula>
    </cfRule>
  </conditionalFormatting>
  <conditionalFormatting sqref="S7">
    <cfRule type="expression" dxfId="4229" priority="640">
      <formula>AND(OR(S$5="Samedi",S$5="Dimanche",R7="F"),MONTH(S7)=MONTH($AH$7))</formula>
    </cfRule>
    <cfRule type="expression" dxfId="4228" priority="644">
      <formula>MONTH(S7)=MONTH($AH$7)</formula>
    </cfRule>
  </conditionalFormatting>
  <conditionalFormatting sqref="T7">
    <cfRule type="expression" dxfId="4227" priority="639">
      <formula>AND(OR(S$5="Samedi",S$5="Dimanche",R7="F"),MONTH(S7)=MONTH($AH$7))</formula>
    </cfRule>
    <cfRule type="expression" dxfId="4226" priority="643">
      <formula>MONTH(S7)=MONTH($AH$7)</formula>
    </cfRule>
  </conditionalFormatting>
  <conditionalFormatting sqref="U7">
    <cfRule type="expression" dxfId="4225" priority="638">
      <formula>AND(OR(S$5="Samedi",S$5="Dimanche",R7="F"),MONTH(S7)=MONTH($AH$7))</formula>
    </cfRule>
    <cfRule type="expression" dxfId="4224" priority="642">
      <formula>MONTH(S7)=MONTH($AH$7)</formula>
    </cfRule>
  </conditionalFormatting>
  <conditionalFormatting sqref="T8:U8">
    <cfRule type="expression" dxfId="4223" priority="637">
      <formula>AND(OR(S$5="Samedi",S$5="Dimanche",R7="F"),MONTH(S7)=MONTH($AH$7))</formula>
    </cfRule>
    <cfRule type="expression" dxfId="4222" priority="641">
      <formula>MONTH(S7)=MONTH($AH$7)</formula>
    </cfRule>
  </conditionalFormatting>
  <conditionalFormatting sqref="S10:U10">
    <cfRule type="expression" dxfId="4221" priority="635">
      <formula>AND(OR(S$5="Samedi",S$5="Dimanche",R7="F"),MONTH(S7)=MONTH($AH$7))</formula>
    </cfRule>
    <cfRule type="expression" dxfId="4220" priority="636">
      <formula>MONTH(S7)=MONTH($AH$7)</formula>
    </cfRule>
  </conditionalFormatting>
  <conditionalFormatting sqref="S11:U11">
    <cfRule type="expression" dxfId="4219" priority="645">
      <formula>AND(OR(S$5="Samedi",S$5="Dimanche",R7="F"),MONTH(S7)=MONTH($AH$7))</formula>
    </cfRule>
  </conditionalFormatting>
  <conditionalFormatting sqref="T9:U9">
    <cfRule type="expression" dxfId="4218" priority="633">
      <formula>AND(OR(S$5="Samedi",S$5="Dimanche",R7="F"),MONTH(S7)=MONTH($AH$7))</formula>
    </cfRule>
    <cfRule type="expression" dxfId="4217" priority="634">
      <formula>MONTH(S7)=MONTH($AH$7)</formula>
    </cfRule>
  </conditionalFormatting>
  <conditionalFormatting sqref="S9">
    <cfRule type="expression" dxfId="4216" priority="630">
      <formula>AND(OR(S$5="Samedi",S$5="Dimanche",R7="F"),MONTH(S7)=MONTH($AH$7))</formula>
    </cfRule>
    <cfRule type="expression" dxfId="4215" priority="631">
      <formula>MONTH(S7)=MONTH($AH$7)</formula>
    </cfRule>
  </conditionalFormatting>
  <conditionalFormatting sqref="AC11:AE11">
    <cfRule type="expression" dxfId="4214" priority="629">
      <formula>MONTH(AC7)=MONTH($AH$7)</formula>
    </cfRule>
  </conditionalFormatting>
  <conditionalFormatting sqref="AC7">
    <cfRule type="expression" dxfId="4213" priority="623">
      <formula>AND(OR(AC$5="Samedi",AC$5="Dimanche",AB7="F"),MONTH(AC7)=MONTH($AH$7))</formula>
    </cfRule>
    <cfRule type="expression" dxfId="4212" priority="627">
      <formula>MONTH(AC7)=MONTH($AH$7)</formula>
    </cfRule>
  </conditionalFormatting>
  <conditionalFormatting sqref="AD7">
    <cfRule type="expression" dxfId="4211" priority="622">
      <formula>AND(OR(AC$5="Samedi",AC$5="Dimanche",AB7="F"),MONTH(AC7)=MONTH($AH$7))</formula>
    </cfRule>
    <cfRule type="expression" dxfId="4210" priority="626">
      <formula>MONTH(AC7)=MONTH($AH$7)</formula>
    </cfRule>
  </conditionalFormatting>
  <conditionalFormatting sqref="AE7">
    <cfRule type="expression" dxfId="4209" priority="621">
      <formula>AND(OR(AC$5="Samedi",AC$5="Dimanche",AB7="F"),MONTH(AC7)=MONTH($AH$7))</formula>
    </cfRule>
    <cfRule type="expression" dxfId="4208" priority="625">
      <formula>MONTH(AC7)=MONTH($AH$7)</formula>
    </cfRule>
  </conditionalFormatting>
  <conditionalFormatting sqref="AD8:AE8">
    <cfRule type="expression" dxfId="4207" priority="620">
      <formula>AND(OR(AC$5="Samedi",AC$5="Dimanche",AB7="F"),MONTH(AC7)=MONTH($AH$7))</formula>
    </cfRule>
    <cfRule type="expression" dxfId="4206" priority="624">
      <formula>MONTH(AC7)=MONTH($AH$7)</formula>
    </cfRule>
  </conditionalFormatting>
  <conditionalFormatting sqref="AC10:AE10">
    <cfRule type="expression" dxfId="4205" priority="618">
      <formula>AND(OR(AC$5="Samedi",AC$5="Dimanche",AB7="F"),MONTH(AC7)=MONTH($AH$7))</formula>
    </cfRule>
    <cfRule type="expression" dxfId="4204" priority="619">
      <formula>MONTH(AC7)=MONTH($AH$7)</formula>
    </cfRule>
  </conditionalFormatting>
  <conditionalFormatting sqref="AC11:AE11">
    <cfRule type="expression" dxfId="4203" priority="628">
      <formula>AND(OR(AC$5="Samedi",AC$5="Dimanche",AB7="F"),MONTH(AC7)=MONTH($AH$7))</formula>
    </cfRule>
  </conditionalFormatting>
  <conditionalFormatting sqref="AD9:AE9">
    <cfRule type="expression" dxfId="4202" priority="616">
      <formula>AND(OR(AC$5="Samedi",AC$5="Dimanche",AB7="F"),MONTH(AC7)=MONTH($AH$7))</formula>
    </cfRule>
    <cfRule type="expression" dxfId="4201" priority="617">
      <formula>MONTH(AC7)=MONTH($AH$7)</formula>
    </cfRule>
  </conditionalFormatting>
  <conditionalFormatting sqref="AC9">
    <cfRule type="expression" dxfId="4200" priority="613">
      <formula>AND(OR(AC$5="Samedi",AC$5="Dimanche",AB7="F"),MONTH(AC7)=MONTH($AH$7))</formula>
    </cfRule>
    <cfRule type="expression" dxfId="4199" priority="614">
      <formula>MONTH(AC7)=MONTH($AH$7)</formula>
    </cfRule>
  </conditionalFormatting>
  <conditionalFormatting sqref="AH11:AJ11">
    <cfRule type="expression" dxfId="4198" priority="612">
      <formula>MONTH(AH7)=MONTH($AH$7)</formula>
    </cfRule>
  </conditionalFormatting>
  <conditionalFormatting sqref="AH7">
    <cfRule type="expression" dxfId="4197" priority="606">
      <formula>AND(OR(AH$5="Samedi",AH$5="Dimanche",AG7="F"),MONTH(AH7)=MONTH($AH$7))</formula>
    </cfRule>
    <cfRule type="expression" dxfId="4196" priority="610">
      <formula>MONTH(AH7)=MONTH($AH$7)</formula>
    </cfRule>
  </conditionalFormatting>
  <conditionalFormatting sqref="AI7">
    <cfRule type="expression" dxfId="4195" priority="605">
      <formula>AND(OR(AH$5="Samedi",AH$5="Dimanche",AG7="F"),MONTH(AH7)=MONTH($AH$7))</formula>
    </cfRule>
    <cfRule type="expression" dxfId="4194" priority="609">
      <formula>MONTH(AH7)=MONTH($AH$7)</formula>
    </cfRule>
  </conditionalFormatting>
  <conditionalFormatting sqref="AJ7">
    <cfRule type="expression" dxfId="4193" priority="604">
      <formula>AND(OR(AH$5="Samedi",AH$5="Dimanche",AG7="F"),MONTH(AH7)=MONTH($AH$7))</formula>
    </cfRule>
    <cfRule type="expression" dxfId="4192" priority="608">
      <formula>MONTH(AH7)=MONTH($AH$7)</formula>
    </cfRule>
  </conditionalFormatting>
  <conditionalFormatting sqref="AI8:AJ8">
    <cfRule type="expression" dxfId="4191" priority="603">
      <formula>AND(OR(AH$5="Samedi",AH$5="Dimanche",AG7="F"),MONTH(AH7)=MONTH($AH$7))</formula>
    </cfRule>
    <cfRule type="expression" dxfId="4190" priority="607">
      <formula>MONTH(AH7)=MONTH($AH$7)</formula>
    </cfRule>
  </conditionalFormatting>
  <conditionalFormatting sqref="AH10:AJ10">
    <cfRule type="expression" dxfId="4189" priority="601">
      <formula>AND(OR(AH$5="Samedi",AH$5="Dimanche",AG7="F"),MONTH(AH7)=MONTH($AH$7))</formula>
    </cfRule>
    <cfRule type="expression" dxfId="4188" priority="602">
      <formula>MONTH(AH7)=MONTH($AH$7)</formula>
    </cfRule>
  </conditionalFormatting>
  <conditionalFormatting sqref="AH11:AJ11">
    <cfRule type="expression" dxfId="4187" priority="611">
      <formula>AND(OR(AH$5="Samedi",AH$5="Dimanche",AG7="F"),MONTH(AH7)=MONTH($AH$7))</formula>
    </cfRule>
  </conditionalFormatting>
  <conditionalFormatting sqref="AI9:AJ9">
    <cfRule type="expression" dxfId="4186" priority="599">
      <formula>AND(OR(AH$5="Samedi",AH$5="Dimanche",AG7="F"),MONTH(AH7)=MONTH($AH$7))</formula>
    </cfRule>
    <cfRule type="expression" dxfId="4185" priority="600">
      <formula>MONTH(AH7)=MONTH($AH$7)</formula>
    </cfRule>
  </conditionalFormatting>
  <conditionalFormatting sqref="AH9">
    <cfRule type="expression" dxfId="4184" priority="596">
      <formula>AND(OR(AH$5="Samedi",AH$5="Dimanche",AG7="F"),MONTH(AH7)=MONTH($AH$7))</formula>
    </cfRule>
    <cfRule type="expression" dxfId="4183" priority="597">
      <formula>MONTH(AH7)=MONTH($AH$7)</formula>
    </cfRule>
  </conditionalFormatting>
  <conditionalFormatting sqref="D17:F17">
    <cfRule type="expression" dxfId="4182" priority="595">
      <formula>MONTH(D13)=MONTH($AH$7)</formula>
    </cfRule>
  </conditionalFormatting>
  <conditionalFormatting sqref="D13">
    <cfRule type="expression" dxfId="4181" priority="589">
      <formula>AND(OR(D$5="Samedi",D$5="Dimanche",C13="F"),MONTH(D13)=MONTH($AH$7))</formula>
    </cfRule>
    <cfRule type="expression" dxfId="4180" priority="593">
      <formula>MONTH(D13)=MONTH($AH$7)</formula>
    </cfRule>
  </conditionalFormatting>
  <conditionalFormatting sqref="E13">
    <cfRule type="expression" dxfId="4179" priority="588">
      <formula>AND(OR(D$5="Samedi",D$5="Dimanche",C13="F"),MONTH(D13)=MONTH($AH$7))</formula>
    </cfRule>
    <cfRule type="expression" dxfId="4178" priority="592">
      <formula>MONTH(D13)=MONTH($AH$7)</formula>
    </cfRule>
  </conditionalFormatting>
  <conditionalFormatting sqref="F13">
    <cfRule type="expression" dxfId="4177" priority="587">
      <formula>AND(OR(D$5="Samedi",D$5="Dimanche",C13="F"),MONTH(D13)=MONTH($AH$7))</formula>
    </cfRule>
    <cfRule type="expression" dxfId="4176" priority="591">
      <formula>MONTH(D13)=MONTH($AH$7)</formula>
    </cfRule>
  </conditionalFormatting>
  <conditionalFormatting sqref="E14:F14">
    <cfRule type="expression" dxfId="4175" priority="586">
      <formula>AND(OR(D$5="Samedi",D$5="Dimanche",C13="F"),MONTH(D13)=MONTH($AH$7))</formula>
    </cfRule>
    <cfRule type="expression" dxfId="4174" priority="590">
      <formula>MONTH(D13)=MONTH($AH$7)</formula>
    </cfRule>
  </conditionalFormatting>
  <conditionalFormatting sqref="D16:F16">
    <cfRule type="expression" dxfId="4173" priority="584">
      <formula>AND(OR(D$5="Samedi",D$5="Dimanche",C13="F"),MONTH(D13)=MONTH($AH$7))</formula>
    </cfRule>
    <cfRule type="expression" dxfId="4172" priority="585">
      <formula>MONTH(D13)=MONTH($AH$7)</formula>
    </cfRule>
  </conditionalFormatting>
  <conditionalFormatting sqref="D17:F17">
    <cfRule type="expression" dxfId="4171" priority="594">
      <formula>AND(OR(D$5="Samedi",D$5="Dimanche",C13="F"),MONTH(D13)=MONTH($AH$7))</formula>
    </cfRule>
  </conditionalFormatting>
  <conditionalFormatting sqref="E15:F15">
    <cfRule type="expression" dxfId="4170" priority="582">
      <formula>AND(OR(D$5="Samedi",D$5="Dimanche",C13="F"),MONTH(D13)=MONTH($AH$7))</formula>
    </cfRule>
    <cfRule type="expression" dxfId="4169" priority="583">
      <formula>MONTH(D13)=MONTH($AH$7)</formula>
    </cfRule>
  </conditionalFormatting>
  <conditionalFormatting sqref="D15">
    <cfRule type="expression" dxfId="4168" priority="579">
      <formula>AND(OR(D$5="Samedi",D$5="Dimanche",C13="F"),MONTH(D13)=MONTH($AH$7))</formula>
    </cfRule>
    <cfRule type="expression" dxfId="4167" priority="580">
      <formula>MONTH(D13)=MONTH($AH$7)</formula>
    </cfRule>
  </conditionalFormatting>
  <conditionalFormatting sqref="I17:K17">
    <cfRule type="expression" dxfId="4166" priority="578">
      <formula>MONTH(I13)=MONTH($AH$7)</formula>
    </cfRule>
  </conditionalFormatting>
  <conditionalFormatting sqref="I13">
    <cfRule type="expression" dxfId="4165" priority="572">
      <formula>AND(OR(I$5="Samedi",I$5="Dimanche",H13="F"),MONTH(I13)=MONTH($AH$7))</formula>
    </cfRule>
    <cfRule type="expression" dxfId="4164" priority="576">
      <formula>MONTH(I13)=MONTH($AH$7)</formula>
    </cfRule>
  </conditionalFormatting>
  <conditionalFormatting sqref="J13">
    <cfRule type="expression" dxfId="4163" priority="571">
      <formula>AND(OR(I$5="Samedi",I$5="Dimanche",H13="F"),MONTH(I13)=MONTH($AH$7))</formula>
    </cfRule>
    <cfRule type="expression" dxfId="4162" priority="575">
      <formula>MONTH(I13)=MONTH($AH$7)</formula>
    </cfRule>
  </conditionalFormatting>
  <conditionalFormatting sqref="K13">
    <cfRule type="expression" dxfId="4161" priority="570">
      <formula>AND(OR(I$5="Samedi",I$5="Dimanche",H13="F"),MONTH(I13)=MONTH($AH$7))</formula>
    </cfRule>
    <cfRule type="expression" dxfId="4160" priority="574">
      <formula>MONTH(I13)=MONTH($AH$7)</formula>
    </cfRule>
  </conditionalFormatting>
  <conditionalFormatting sqref="J14:K14">
    <cfRule type="expression" dxfId="4159" priority="569">
      <formula>AND(OR(I$5="Samedi",I$5="Dimanche",H13="F"),MONTH(I13)=MONTH($AH$7))</formula>
    </cfRule>
    <cfRule type="expression" dxfId="4158" priority="573">
      <formula>MONTH(I13)=MONTH($AH$7)</formula>
    </cfRule>
  </conditionalFormatting>
  <conditionalFormatting sqref="I16:K16">
    <cfRule type="expression" dxfId="4157" priority="567">
      <formula>AND(OR(I$5="Samedi",I$5="Dimanche",H13="F"),MONTH(I13)=MONTH($AH$7))</formula>
    </cfRule>
    <cfRule type="expression" dxfId="4156" priority="568">
      <formula>MONTH(I13)=MONTH($AH$7)</formula>
    </cfRule>
  </conditionalFormatting>
  <conditionalFormatting sqref="I17:K17">
    <cfRule type="expression" dxfId="4155" priority="577">
      <formula>AND(OR(I$5="Samedi",I$5="Dimanche",H13="F"),MONTH(I13)=MONTH($AH$7))</formula>
    </cfRule>
  </conditionalFormatting>
  <conditionalFormatting sqref="J15:K15">
    <cfRule type="expression" dxfId="4154" priority="565">
      <formula>AND(OR(I$5="Samedi",I$5="Dimanche",H13="F"),MONTH(I13)=MONTH($AH$7))</formula>
    </cfRule>
    <cfRule type="expression" dxfId="4153" priority="566">
      <formula>MONTH(I13)=MONTH($AH$7)</formula>
    </cfRule>
  </conditionalFormatting>
  <conditionalFormatting sqref="I15">
    <cfRule type="expression" dxfId="4152" priority="562">
      <formula>AND(OR(I$5="Samedi",I$5="Dimanche",H13="F"),MONTH(I13)=MONTH($AH$7))</formula>
    </cfRule>
    <cfRule type="expression" dxfId="4151" priority="563">
      <formula>MONTH(I13)=MONTH($AH$7)</formula>
    </cfRule>
  </conditionalFormatting>
  <conditionalFormatting sqref="N17:P17">
    <cfRule type="expression" dxfId="4150" priority="561">
      <formula>MONTH(N13)=MONTH($AH$7)</formula>
    </cfRule>
  </conditionalFormatting>
  <conditionalFormatting sqref="N13">
    <cfRule type="expression" dxfId="4149" priority="555">
      <formula>AND(OR(N$5="Samedi",N$5="Dimanche",M13="F"),MONTH(N13)=MONTH($AH$7))</formula>
    </cfRule>
    <cfRule type="expression" dxfId="4148" priority="559">
      <formula>MONTH(N13)=MONTH($AH$7)</formula>
    </cfRule>
  </conditionalFormatting>
  <conditionalFormatting sqref="O13">
    <cfRule type="expression" dxfId="4147" priority="554">
      <formula>AND(OR(N$5="Samedi",N$5="Dimanche",M13="F"),MONTH(N13)=MONTH($AH$7))</formula>
    </cfRule>
    <cfRule type="expression" dxfId="4146" priority="558">
      <formula>MONTH(N13)=MONTH($AH$7)</formula>
    </cfRule>
  </conditionalFormatting>
  <conditionalFormatting sqref="P13">
    <cfRule type="expression" dxfId="4145" priority="553">
      <formula>AND(OR(N$5="Samedi",N$5="Dimanche",M13="F"),MONTH(N13)=MONTH($AH$7))</formula>
    </cfRule>
    <cfRule type="expression" dxfId="4144" priority="557">
      <formula>MONTH(N13)=MONTH($AH$7)</formula>
    </cfRule>
  </conditionalFormatting>
  <conditionalFormatting sqref="O14:P14">
    <cfRule type="expression" dxfId="4143" priority="552">
      <formula>AND(OR(N$5="Samedi",N$5="Dimanche",M13="F"),MONTH(N13)=MONTH($AH$7))</formula>
    </cfRule>
    <cfRule type="expression" dxfId="4142" priority="556">
      <formula>MONTH(N13)=MONTH($AH$7)</formula>
    </cfRule>
  </conditionalFormatting>
  <conditionalFormatting sqref="N16:P16">
    <cfRule type="expression" dxfId="4141" priority="550">
      <formula>AND(OR(N$5="Samedi",N$5="Dimanche",M13="F"),MONTH(N13)=MONTH($AH$7))</formula>
    </cfRule>
    <cfRule type="expression" dxfId="4140" priority="551">
      <formula>MONTH(N13)=MONTH($AH$7)</formula>
    </cfRule>
  </conditionalFormatting>
  <conditionalFormatting sqref="N17:P17">
    <cfRule type="expression" dxfId="4139" priority="560">
      <formula>AND(OR(N$5="Samedi",N$5="Dimanche",M13="F"),MONTH(N13)=MONTH($AH$7))</formula>
    </cfRule>
  </conditionalFormatting>
  <conditionalFormatting sqref="O15:P15">
    <cfRule type="expression" dxfId="4138" priority="548">
      <formula>AND(OR(N$5="Samedi",N$5="Dimanche",M13="F"),MONTH(N13)=MONTH($AH$7))</formula>
    </cfRule>
    <cfRule type="expression" dxfId="4137" priority="549">
      <formula>MONTH(N13)=MONTH($AH$7)</formula>
    </cfRule>
  </conditionalFormatting>
  <conditionalFormatting sqref="N15">
    <cfRule type="expression" dxfId="4136" priority="545">
      <formula>AND(OR(N$5="Samedi",N$5="Dimanche",M13="F"),MONTH(N13)=MONTH($AH$7))</formula>
    </cfRule>
    <cfRule type="expression" dxfId="4135" priority="546">
      <formula>MONTH(N13)=MONTH($AH$7)</formula>
    </cfRule>
  </conditionalFormatting>
  <conditionalFormatting sqref="S17:U17">
    <cfRule type="expression" dxfId="4134" priority="544">
      <formula>MONTH(S13)=MONTH($AH$7)</formula>
    </cfRule>
  </conditionalFormatting>
  <conditionalFormatting sqref="S13">
    <cfRule type="expression" dxfId="4133" priority="538">
      <formula>AND(OR(S$5="Samedi",S$5="Dimanche",R13="F"),MONTH(S13)=MONTH($AH$7))</formula>
    </cfRule>
    <cfRule type="expression" dxfId="4132" priority="542">
      <formula>MONTH(S13)=MONTH($AH$7)</formula>
    </cfRule>
  </conditionalFormatting>
  <conditionalFormatting sqref="T13">
    <cfRule type="expression" dxfId="4131" priority="537">
      <formula>AND(OR(S$5="Samedi",S$5="Dimanche",R13="F"),MONTH(S13)=MONTH($AH$7))</formula>
    </cfRule>
    <cfRule type="expression" dxfId="4130" priority="541">
      <formula>MONTH(S13)=MONTH($AH$7)</formula>
    </cfRule>
  </conditionalFormatting>
  <conditionalFormatting sqref="U13">
    <cfRule type="expression" dxfId="4129" priority="536">
      <formula>AND(OR(S$5="Samedi",S$5="Dimanche",R13="F"),MONTH(S13)=MONTH($AH$7))</formula>
    </cfRule>
    <cfRule type="expression" dxfId="4128" priority="540">
      <formula>MONTH(S13)=MONTH($AH$7)</formula>
    </cfRule>
  </conditionalFormatting>
  <conditionalFormatting sqref="T14:U14">
    <cfRule type="expression" dxfId="4127" priority="535">
      <formula>AND(OR(S$5="Samedi",S$5="Dimanche",R13="F"),MONTH(S13)=MONTH($AH$7))</formula>
    </cfRule>
    <cfRule type="expression" dxfId="4126" priority="539">
      <formula>MONTH(S13)=MONTH($AH$7)</formula>
    </cfRule>
  </conditionalFormatting>
  <conditionalFormatting sqref="S16:U16">
    <cfRule type="expression" dxfId="4125" priority="533">
      <formula>AND(OR(S$5="Samedi",S$5="Dimanche",R13="F"),MONTH(S13)=MONTH($AH$7))</formula>
    </cfRule>
    <cfRule type="expression" dxfId="4124" priority="534">
      <formula>MONTH(S13)=MONTH($AH$7)</formula>
    </cfRule>
  </conditionalFormatting>
  <conditionalFormatting sqref="S17:U17">
    <cfRule type="expression" dxfId="4123" priority="543">
      <formula>AND(OR(S$5="Samedi",S$5="Dimanche",R13="F"),MONTH(S13)=MONTH($AH$7))</formula>
    </cfRule>
  </conditionalFormatting>
  <conditionalFormatting sqref="T15:U15">
    <cfRule type="expression" dxfId="4122" priority="531">
      <formula>AND(OR(S$5="Samedi",S$5="Dimanche",R13="F"),MONTH(S13)=MONTH($AH$7))</formula>
    </cfRule>
    <cfRule type="expression" dxfId="4121" priority="532">
      <formula>MONTH(S13)=MONTH($AH$7)</formula>
    </cfRule>
  </conditionalFormatting>
  <conditionalFormatting sqref="S15">
    <cfRule type="expression" dxfId="4120" priority="528">
      <formula>AND(OR(S$5="Samedi",S$5="Dimanche",R13="F"),MONTH(S13)=MONTH($AH$7))</formula>
    </cfRule>
    <cfRule type="expression" dxfId="4119" priority="529">
      <formula>MONTH(S13)=MONTH($AH$7)</formula>
    </cfRule>
  </conditionalFormatting>
  <conditionalFormatting sqref="X17:Z17">
    <cfRule type="expression" dxfId="4118" priority="527">
      <formula>MONTH(X13)=MONTH($AH$7)</formula>
    </cfRule>
  </conditionalFormatting>
  <conditionalFormatting sqref="X13">
    <cfRule type="expression" dxfId="4117" priority="521">
      <formula>AND(OR(X$5="Samedi",X$5="Dimanche",W13="F"),MONTH(X13)=MONTH($AH$7))</formula>
    </cfRule>
    <cfRule type="expression" dxfId="4116" priority="525">
      <formula>MONTH(X13)=MONTH($AH$7)</formula>
    </cfRule>
  </conditionalFormatting>
  <conditionalFormatting sqref="Y13">
    <cfRule type="expression" dxfId="4115" priority="520">
      <formula>AND(OR(X$5="Samedi",X$5="Dimanche",W13="F"),MONTH(X13)=MONTH($AH$7))</formula>
    </cfRule>
    <cfRule type="expression" dxfId="4114" priority="524">
      <formula>MONTH(X13)=MONTH($AH$7)</formula>
    </cfRule>
  </conditionalFormatting>
  <conditionalFormatting sqref="Z13">
    <cfRule type="expression" dxfId="4113" priority="519">
      <formula>AND(OR(X$5="Samedi",X$5="Dimanche",W13="F"),MONTH(X13)=MONTH($AH$7))</formula>
    </cfRule>
    <cfRule type="expression" dxfId="4112" priority="523">
      <formula>MONTH(X13)=MONTH($AH$7)</formula>
    </cfRule>
  </conditionalFormatting>
  <conditionalFormatting sqref="Y14:Z14">
    <cfRule type="expression" dxfId="4111" priority="518">
      <formula>AND(OR(X$5="Samedi",X$5="Dimanche",W13="F"),MONTH(X13)=MONTH($AH$7))</formula>
    </cfRule>
    <cfRule type="expression" dxfId="4110" priority="522">
      <formula>MONTH(X13)=MONTH($AH$7)</formula>
    </cfRule>
  </conditionalFormatting>
  <conditionalFormatting sqref="X16:Z16">
    <cfRule type="expression" dxfId="4109" priority="516">
      <formula>AND(OR(X$5="Samedi",X$5="Dimanche",W13="F"),MONTH(X13)=MONTH($AH$7))</formula>
    </cfRule>
    <cfRule type="expression" dxfId="4108" priority="517">
      <formula>MONTH(X13)=MONTH($AH$7)</formula>
    </cfRule>
  </conditionalFormatting>
  <conditionalFormatting sqref="X17:Z17">
    <cfRule type="expression" dxfId="4107" priority="526">
      <formula>AND(OR(X$5="Samedi",X$5="Dimanche",W13="F"),MONTH(X13)=MONTH($AH$7))</formula>
    </cfRule>
  </conditionalFormatting>
  <conditionalFormatting sqref="Y15:Z15">
    <cfRule type="expression" dxfId="4106" priority="514">
      <formula>AND(OR(X$5="Samedi",X$5="Dimanche",W13="F"),MONTH(X13)=MONTH($AH$7))</formula>
    </cfRule>
    <cfRule type="expression" dxfId="4105" priority="515">
      <formula>MONTH(X13)=MONTH($AH$7)</formula>
    </cfRule>
  </conditionalFormatting>
  <conditionalFormatting sqref="X15">
    <cfRule type="expression" dxfId="4104" priority="511">
      <formula>AND(OR(X$5="Samedi",X$5="Dimanche",W13="F"),MONTH(X13)=MONTH($AH$7))</formula>
    </cfRule>
    <cfRule type="expression" dxfId="4103" priority="512">
      <formula>MONTH(X13)=MONTH($AH$7)</formula>
    </cfRule>
  </conditionalFormatting>
  <conditionalFormatting sqref="AC17:AE17">
    <cfRule type="expression" dxfId="4102" priority="510">
      <formula>MONTH(AC13)=MONTH($AH$7)</formula>
    </cfRule>
  </conditionalFormatting>
  <conditionalFormatting sqref="AC13">
    <cfRule type="expression" dxfId="4101" priority="504">
      <formula>AND(OR(AC$5="Samedi",AC$5="Dimanche",AB13="F"),MONTH(AC13)=MONTH($AH$7))</formula>
    </cfRule>
    <cfRule type="expression" dxfId="4100" priority="508">
      <formula>MONTH(AC13)=MONTH($AH$7)</formula>
    </cfRule>
  </conditionalFormatting>
  <conditionalFormatting sqref="AD13">
    <cfRule type="expression" dxfId="4099" priority="503">
      <formula>AND(OR(AC$5="Samedi",AC$5="Dimanche",AB13="F"),MONTH(AC13)=MONTH($AH$7))</formula>
    </cfRule>
    <cfRule type="expression" dxfId="4098" priority="507">
      <formula>MONTH(AC13)=MONTH($AH$7)</formula>
    </cfRule>
  </conditionalFormatting>
  <conditionalFormatting sqref="AE13">
    <cfRule type="expression" dxfId="4097" priority="502">
      <formula>AND(OR(AC$5="Samedi",AC$5="Dimanche",AB13="F"),MONTH(AC13)=MONTH($AH$7))</formula>
    </cfRule>
    <cfRule type="expression" dxfId="4096" priority="506">
      <formula>MONTH(AC13)=MONTH($AH$7)</formula>
    </cfRule>
  </conditionalFormatting>
  <conditionalFormatting sqref="AD14:AE14">
    <cfRule type="expression" dxfId="4095" priority="501">
      <formula>AND(OR(AC$5="Samedi",AC$5="Dimanche",AB13="F"),MONTH(AC13)=MONTH($AH$7))</formula>
    </cfRule>
    <cfRule type="expression" dxfId="4094" priority="505">
      <formula>MONTH(AC13)=MONTH($AH$7)</formula>
    </cfRule>
  </conditionalFormatting>
  <conditionalFormatting sqref="AC16:AE16">
    <cfRule type="expression" dxfId="4093" priority="499">
      <formula>AND(OR(AC$5="Samedi",AC$5="Dimanche",AB13="F"),MONTH(AC13)=MONTH($AH$7))</formula>
    </cfRule>
    <cfRule type="expression" dxfId="4092" priority="500">
      <formula>MONTH(AC13)=MONTH($AH$7)</formula>
    </cfRule>
  </conditionalFormatting>
  <conditionalFormatting sqref="AC17:AE17">
    <cfRule type="expression" dxfId="4091" priority="509">
      <formula>AND(OR(AC$5="Samedi",AC$5="Dimanche",AB13="F"),MONTH(AC13)=MONTH($AH$7))</formula>
    </cfRule>
  </conditionalFormatting>
  <conditionalFormatting sqref="AD15:AE15">
    <cfRule type="expression" dxfId="4090" priority="497">
      <formula>AND(OR(AC$5="Samedi",AC$5="Dimanche",AB13="F"),MONTH(AC13)=MONTH($AH$7))</formula>
    </cfRule>
    <cfRule type="expression" dxfId="4089" priority="498">
      <formula>MONTH(AC13)=MONTH($AH$7)</formula>
    </cfRule>
  </conditionalFormatting>
  <conditionalFormatting sqref="AC15">
    <cfRule type="expression" dxfId="4088" priority="494">
      <formula>AND(OR(AC$5="Samedi",AC$5="Dimanche",AB13="F"),MONTH(AC13)=MONTH($AH$7))</formula>
    </cfRule>
    <cfRule type="expression" dxfId="4087" priority="495">
      <formula>MONTH(AC13)=MONTH($AH$7)</formula>
    </cfRule>
  </conditionalFormatting>
  <conditionalFormatting sqref="AH17:AJ17">
    <cfRule type="expression" dxfId="4086" priority="493">
      <formula>MONTH(AH13)=MONTH($AH$7)</formula>
    </cfRule>
  </conditionalFormatting>
  <conditionalFormatting sqref="AH13">
    <cfRule type="expression" dxfId="4085" priority="487">
      <formula>AND(OR(AH$5="Samedi",AH$5="Dimanche",AG13="F"),MONTH(AH13)=MONTH($AH$7))</formula>
    </cfRule>
    <cfRule type="expression" dxfId="4084" priority="491">
      <formula>MONTH(AH13)=MONTH($AH$7)</formula>
    </cfRule>
  </conditionalFormatting>
  <conditionalFormatting sqref="AI13">
    <cfRule type="expression" dxfId="4083" priority="486">
      <formula>AND(OR(AH$5="Samedi",AH$5="Dimanche",AG13="F"),MONTH(AH13)=MONTH($AH$7))</formula>
    </cfRule>
    <cfRule type="expression" dxfId="4082" priority="490">
      <formula>MONTH(AH13)=MONTH($AH$7)</formula>
    </cfRule>
  </conditionalFormatting>
  <conditionalFormatting sqref="AJ13">
    <cfRule type="expression" dxfId="4081" priority="485">
      <formula>AND(OR(AH$5="Samedi",AH$5="Dimanche",AG13="F"),MONTH(AH13)=MONTH($AH$7))</formula>
    </cfRule>
    <cfRule type="expression" dxfId="4080" priority="489">
      <formula>MONTH(AH13)=MONTH($AH$7)</formula>
    </cfRule>
  </conditionalFormatting>
  <conditionalFormatting sqref="AI14:AJ14">
    <cfRule type="expression" dxfId="4079" priority="484">
      <formula>AND(OR(AH$5="Samedi",AH$5="Dimanche",AG13="F"),MONTH(AH13)=MONTH($AH$7))</formula>
    </cfRule>
    <cfRule type="expression" dxfId="4078" priority="488">
      <formula>MONTH(AH13)=MONTH($AH$7)</formula>
    </cfRule>
  </conditionalFormatting>
  <conditionalFormatting sqref="AH16:AJ16">
    <cfRule type="expression" dxfId="4077" priority="482">
      <formula>AND(OR(AH$5="Samedi",AH$5="Dimanche",AG13="F"),MONTH(AH13)=MONTH($AH$7))</formula>
    </cfRule>
    <cfRule type="expression" dxfId="4076" priority="483">
      <formula>MONTH(AH13)=MONTH($AH$7)</formula>
    </cfRule>
  </conditionalFormatting>
  <conditionalFormatting sqref="AH17:AJ17">
    <cfRule type="expression" dxfId="4075" priority="492">
      <formula>AND(OR(AH$5="Samedi",AH$5="Dimanche",AG13="F"),MONTH(AH13)=MONTH($AH$7))</formula>
    </cfRule>
  </conditionalFormatting>
  <conditionalFormatting sqref="AI15:AJ15">
    <cfRule type="expression" dxfId="4074" priority="480">
      <formula>AND(OR(AH$5="Samedi",AH$5="Dimanche",AG13="F"),MONTH(AH13)=MONTH($AH$7))</formula>
    </cfRule>
    <cfRule type="expression" dxfId="4073" priority="481">
      <formula>MONTH(AH13)=MONTH($AH$7)</formula>
    </cfRule>
  </conditionalFormatting>
  <conditionalFormatting sqref="AH15">
    <cfRule type="expression" dxfId="4072" priority="477">
      <formula>AND(OR(AH$5="Samedi",AH$5="Dimanche",AG13="F"),MONTH(AH13)=MONTH($AH$7))</formula>
    </cfRule>
    <cfRule type="expression" dxfId="4071" priority="478">
      <formula>MONTH(AH13)=MONTH($AH$7)</formula>
    </cfRule>
  </conditionalFormatting>
  <conditionalFormatting sqref="D23:F23">
    <cfRule type="expression" dxfId="4070" priority="476">
      <formula>MONTH(D19)=MONTH($AH$7)</formula>
    </cfRule>
  </conditionalFormatting>
  <conditionalFormatting sqref="D19">
    <cfRule type="expression" dxfId="4069" priority="470">
      <formula>AND(OR(D$5="Samedi",D$5="Dimanche",C19="F"),MONTH(D19)=MONTH($AH$7))</formula>
    </cfRule>
    <cfRule type="expression" dxfId="4068" priority="474">
      <formula>MONTH(D19)=MONTH($AH$7)</formula>
    </cfRule>
  </conditionalFormatting>
  <conditionalFormatting sqref="E19">
    <cfRule type="expression" dxfId="4067" priority="469">
      <formula>AND(OR(D$5="Samedi",D$5="Dimanche",C19="F"),MONTH(D19)=MONTH($AH$7))</formula>
    </cfRule>
    <cfRule type="expression" dxfId="4066" priority="473">
      <formula>MONTH(D19)=MONTH($AH$7)</formula>
    </cfRule>
  </conditionalFormatting>
  <conditionalFormatting sqref="F19">
    <cfRule type="expression" dxfId="4065" priority="468">
      <formula>AND(OR(D$5="Samedi",D$5="Dimanche",C19="F"),MONTH(D19)=MONTH($AH$7))</formula>
    </cfRule>
    <cfRule type="expression" dxfId="4064" priority="472">
      <formula>MONTH(D19)=MONTH($AH$7)</formula>
    </cfRule>
  </conditionalFormatting>
  <conditionalFormatting sqref="E20:F20">
    <cfRule type="expression" dxfId="4063" priority="467">
      <formula>AND(OR(D$5="Samedi",D$5="Dimanche",C19="F"),MONTH(D19)=MONTH($AH$7))</formula>
    </cfRule>
    <cfRule type="expression" dxfId="4062" priority="471">
      <formula>MONTH(D19)=MONTH($AH$7)</formula>
    </cfRule>
  </conditionalFormatting>
  <conditionalFormatting sqref="D22:F22">
    <cfRule type="expression" dxfId="4061" priority="465">
      <formula>AND(OR(D$5="Samedi",D$5="Dimanche",C19="F"),MONTH(D19)=MONTH($AH$7))</formula>
    </cfRule>
    <cfRule type="expression" dxfId="4060" priority="466">
      <formula>MONTH(D19)=MONTH($AH$7)</formula>
    </cfRule>
  </conditionalFormatting>
  <conditionalFormatting sqref="D23:F23">
    <cfRule type="expression" dxfId="4059" priority="475">
      <formula>AND(OR(D$5="Samedi",D$5="Dimanche",C19="F"),MONTH(D19)=MONTH($AH$7))</formula>
    </cfRule>
  </conditionalFormatting>
  <conditionalFormatting sqref="E21:F21">
    <cfRule type="expression" dxfId="4058" priority="463">
      <formula>AND(OR(D$5="Samedi",D$5="Dimanche",C19="F"),MONTH(D19)=MONTH($AH$7))</formula>
    </cfRule>
    <cfRule type="expression" dxfId="4057" priority="464">
      <formula>MONTH(D19)=MONTH($AH$7)</formula>
    </cfRule>
  </conditionalFormatting>
  <conditionalFormatting sqref="D21">
    <cfRule type="expression" dxfId="4056" priority="460">
      <formula>AND(OR(D$5="Samedi",D$5="Dimanche",C19="F"),MONTH(D19)=MONTH($AH$7))</formula>
    </cfRule>
    <cfRule type="expression" dxfId="4055" priority="461">
      <formula>MONTH(D19)=MONTH($AH$7)</formula>
    </cfRule>
  </conditionalFormatting>
  <conditionalFormatting sqref="I23:K23">
    <cfRule type="expression" dxfId="4054" priority="459">
      <formula>MONTH(I19)=MONTH($AH$7)</formula>
    </cfRule>
  </conditionalFormatting>
  <conditionalFormatting sqref="I19">
    <cfRule type="expression" dxfId="4053" priority="453">
      <formula>AND(OR(I$5="Samedi",I$5="Dimanche",H19="F"),MONTH(I19)=MONTH($AH$7))</formula>
    </cfRule>
    <cfRule type="expression" dxfId="4052" priority="457">
      <formula>MONTH(I19)=MONTH($AH$7)</formula>
    </cfRule>
  </conditionalFormatting>
  <conditionalFormatting sqref="J19">
    <cfRule type="expression" dxfId="4051" priority="452">
      <formula>AND(OR(I$5="Samedi",I$5="Dimanche",H19="F"),MONTH(I19)=MONTH($AH$7))</formula>
    </cfRule>
    <cfRule type="expression" dxfId="4050" priority="456">
      <formula>MONTH(I19)=MONTH($AH$7)</formula>
    </cfRule>
  </conditionalFormatting>
  <conditionalFormatting sqref="K19">
    <cfRule type="expression" dxfId="4049" priority="451">
      <formula>AND(OR(I$5="Samedi",I$5="Dimanche",H19="F"),MONTH(I19)=MONTH($AH$7))</formula>
    </cfRule>
    <cfRule type="expression" dxfId="4048" priority="455">
      <formula>MONTH(I19)=MONTH($AH$7)</formula>
    </cfRule>
  </conditionalFormatting>
  <conditionalFormatting sqref="J20:K20">
    <cfRule type="expression" dxfId="4047" priority="450">
      <formula>AND(OR(I$5="Samedi",I$5="Dimanche",H19="F"),MONTH(I19)=MONTH($AH$7))</formula>
    </cfRule>
    <cfRule type="expression" dxfId="4046" priority="454">
      <formula>MONTH(I19)=MONTH($AH$7)</formula>
    </cfRule>
  </conditionalFormatting>
  <conditionalFormatting sqref="I22:K22">
    <cfRule type="expression" dxfId="4045" priority="448">
      <formula>AND(OR(I$5="Samedi",I$5="Dimanche",H19="F"),MONTH(I19)=MONTH($AH$7))</formula>
    </cfRule>
    <cfRule type="expression" dxfId="4044" priority="449">
      <formula>MONTH(I19)=MONTH($AH$7)</formula>
    </cfRule>
  </conditionalFormatting>
  <conditionalFormatting sqref="I23:K23">
    <cfRule type="expression" dxfId="4043" priority="458">
      <formula>AND(OR(I$5="Samedi",I$5="Dimanche",H19="F"),MONTH(I19)=MONTH($AH$7))</formula>
    </cfRule>
  </conditionalFormatting>
  <conditionalFormatting sqref="J21:K21">
    <cfRule type="expression" dxfId="4042" priority="446">
      <formula>AND(OR(I$5="Samedi",I$5="Dimanche",H19="F"),MONTH(I19)=MONTH($AH$7))</formula>
    </cfRule>
    <cfRule type="expression" dxfId="4041" priority="447">
      <formula>MONTH(I19)=MONTH($AH$7)</formula>
    </cfRule>
  </conditionalFormatting>
  <conditionalFormatting sqref="I21">
    <cfRule type="expression" dxfId="4040" priority="443">
      <formula>AND(OR(I$5="Samedi",I$5="Dimanche",H19="F"),MONTH(I19)=MONTH($AH$7))</formula>
    </cfRule>
    <cfRule type="expression" dxfId="4039" priority="444">
      <formula>MONTH(I19)=MONTH($AH$7)</formula>
    </cfRule>
  </conditionalFormatting>
  <conditionalFormatting sqref="N23:P23">
    <cfRule type="expression" dxfId="4038" priority="442">
      <formula>MONTH(N19)=MONTH($AH$7)</formula>
    </cfRule>
  </conditionalFormatting>
  <conditionalFormatting sqref="N19">
    <cfRule type="expression" dxfId="4037" priority="436">
      <formula>AND(OR(N$5="Samedi",N$5="Dimanche",M19="F"),MONTH(N19)=MONTH($AH$7))</formula>
    </cfRule>
    <cfRule type="expression" dxfId="4036" priority="440">
      <formula>MONTH(N19)=MONTH($AH$7)</formula>
    </cfRule>
  </conditionalFormatting>
  <conditionalFormatting sqref="O19">
    <cfRule type="expression" dxfId="4035" priority="435">
      <formula>AND(OR(N$5="Samedi",N$5="Dimanche",M19="F"),MONTH(N19)=MONTH($AH$7))</formula>
    </cfRule>
    <cfRule type="expression" dxfId="4034" priority="439">
      <formula>MONTH(N19)=MONTH($AH$7)</formula>
    </cfRule>
  </conditionalFormatting>
  <conditionalFormatting sqref="P19">
    <cfRule type="expression" dxfId="4033" priority="434">
      <formula>AND(OR(N$5="Samedi",N$5="Dimanche",M19="F"),MONTH(N19)=MONTH($AH$7))</formula>
    </cfRule>
    <cfRule type="expression" dxfId="4032" priority="438">
      <formula>MONTH(N19)=MONTH($AH$7)</formula>
    </cfRule>
  </conditionalFormatting>
  <conditionalFormatting sqref="O20:P20">
    <cfRule type="expression" dxfId="4031" priority="433">
      <formula>AND(OR(N$5="Samedi",N$5="Dimanche",M19="F"),MONTH(N19)=MONTH($AH$7))</formula>
    </cfRule>
    <cfRule type="expression" dxfId="4030" priority="437">
      <formula>MONTH(N19)=MONTH($AH$7)</formula>
    </cfRule>
  </conditionalFormatting>
  <conditionalFormatting sqref="N22:P22">
    <cfRule type="expression" dxfId="4029" priority="431">
      <formula>AND(OR(N$5="Samedi",N$5="Dimanche",M19="F"),MONTH(N19)=MONTH($AH$7))</formula>
    </cfRule>
    <cfRule type="expression" dxfId="4028" priority="432">
      <formula>MONTH(N19)=MONTH($AH$7)</formula>
    </cfRule>
  </conditionalFormatting>
  <conditionalFormatting sqref="N23:P23">
    <cfRule type="expression" dxfId="4027" priority="441">
      <formula>AND(OR(N$5="Samedi",N$5="Dimanche",M19="F"),MONTH(N19)=MONTH($AH$7))</formula>
    </cfRule>
  </conditionalFormatting>
  <conditionalFormatting sqref="O21:P21">
    <cfRule type="expression" dxfId="4026" priority="429">
      <formula>AND(OR(N$5="Samedi",N$5="Dimanche",M19="F"),MONTH(N19)=MONTH($AH$7))</formula>
    </cfRule>
    <cfRule type="expression" dxfId="4025" priority="430">
      <formula>MONTH(N19)=MONTH($AH$7)</formula>
    </cfRule>
  </conditionalFormatting>
  <conditionalFormatting sqref="N21">
    <cfRule type="expression" dxfId="4024" priority="426">
      <formula>AND(OR(N$5="Samedi",N$5="Dimanche",M19="F"),MONTH(N19)=MONTH($AH$7))</formula>
    </cfRule>
    <cfRule type="expression" dxfId="4023" priority="427">
      <formula>MONTH(N19)=MONTH($AH$7)</formula>
    </cfRule>
  </conditionalFormatting>
  <conditionalFormatting sqref="S23:U23">
    <cfRule type="expression" dxfId="4022" priority="425">
      <formula>MONTH(S19)=MONTH($AH$7)</formula>
    </cfRule>
  </conditionalFormatting>
  <conditionalFormatting sqref="S19">
    <cfRule type="expression" dxfId="4021" priority="419">
      <formula>AND(OR(S$5="Samedi",S$5="Dimanche",R19="F"),MONTH(S19)=MONTH($AH$7))</formula>
    </cfRule>
    <cfRule type="expression" dxfId="4020" priority="423">
      <formula>MONTH(S19)=MONTH($AH$7)</formula>
    </cfRule>
  </conditionalFormatting>
  <conditionalFormatting sqref="T19">
    <cfRule type="expression" dxfId="4019" priority="418">
      <formula>AND(OR(S$5="Samedi",S$5="Dimanche",R19="F"),MONTH(S19)=MONTH($AH$7))</formula>
    </cfRule>
    <cfRule type="expression" dxfId="4018" priority="422">
      <formula>MONTH(S19)=MONTH($AH$7)</formula>
    </cfRule>
  </conditionalFormatting>
  <conditionalFormatting sqref="U19">
    <cfRule type="expression" dxfId="4017" priority="417">
      <formula>AND(OR(S$5="Samedi",S$5="Dimanche",R19="F"),MONTH(S19)=MONTH($AH$7))</formula>
    </cfRule>
    <cfRule type="expression" dxfId="4016" priority="421">
      <formula>MONTH(S19)=MONTH($AH$7)</formula>
    </cfRule>
  </conditionalFormatting>
  <conditionalFormatting sqref="T20:U20">
    <cfRule type="expression" dxfId="4015" priority="416">
      <formula>AND(OR(S$5="Samedi",S$5="Dimanche",R19="F"),MONTH(S19)=MONTH($AH$7))</formula>
    </cfRule>
    <cfRule type="expression" dxfId="4014" priority="420">
      <formula>MONTH(S19)=MONTH($AH$7)</formula>
    </cfRule>
  </conditionalFormatting>
  <conditionalFormatting sqref="S22:U22">
    <cfRule type="expression" dxfId="4013" priority="414">
      <formula>AND(OR(S$5="Samedi",S$5="Dimanche",R19="F"),MONTH(S19)=MONTH($AH$7))</formula>
    </cfRule>
    <cfRule type="expression" dxfId="4012" priority="415">
      <formula>MONTH(S19)=MONTH($AH$7)</formula>
    </cfRule>
  </conditionalFormatting>
  <conditionalFormatting sqref="S23:U23">
    <cfRule type="expression" dxfId="4011" priority="424">
      <formula>AND(OR(S$5="Samedi",S$5="Dimanche",R19="F"),MONTH(S19)=MONTH($AH$7))</formula>
    </cfRule>
  </conditionalFormatting>
  <conditionalFormatting sqref="T21:U21">
    <cfRule type="expression" dxfId="4010" priority="412">
      <formula>AND(OR(S$5="Samedi",S$5="Dimanche",R19="F"),MONTH(S19)=MONTH($AH$7))</formula>
    </cfRule>
    <cfRule type="expression" dxfId="4009" priority="413">
      <formula>MONTH(S19)=MONTH($AH$7)</formula>
    </cfRule>
  </conditionalFormatting>
  <conditionalFormatting sqref="S21">
    <cfRule type="expression" dxfId="4008" priority="409">
      <formula>AND(OR(S$5="Samedi",S$5="Dimanche",R19="F"),MONTH(S19)=MONTH($AH$7))</formula>
    </cfRule>
    <cfRule type="expression" dxfId="4007" priority="410">
      <formula>MONTH(S19)=MONTH($AH$7)</formula>
    </cfRule>
  </conditionalFormatting>
  <conditionalFormatting sqref="X23:Z23">
    <cfRule type="expression" dxfId="4006" priority="408">
      <formula>MONTH(X19)=MONTH($AH$7)</formula>
    </cfRule>
  </conditionalFormatting>
  <conditionalFormatting sqref="X19">
    <cfRule type="expression" dxfId="4005" priority="402">
      <formula>AND(OR(X$5="Samedi",X$5="Dimanche",W19="F"),MONTH(X19)=MONTH($AH$7))</formula>
    </cfRule>
    <cfRule type="expression" dxfId="4004" priority="406">
      <formula>MONTH(X19)=MONTH($AH$7)</formula>
    </cfRule>
  </conditionalFormatting>
  <conditionalFormatting sqref="Y19">
    <cfRule type="expression" dxfId="4003" priority="401">
      <formula>AND(OR(X$5="Samedi",X$5="Dimanche",W19="F"),MONTH(X19)=MONTH($AH$7))</formula>
    </cfRule>
    <cfRule type="expression" dxfId="4002" priority="405">
      <formula>MONTH(X19)=MONTH($AH$7)</formula>
    </cfRule>
  </conditionalFormatting>
  <conditionalFormatting sqref="Z19">
    <cfRule type="expression" dxfId="4001" priority="400">
      <formula>AND(OR(X$5="Samedi",X$5="Dimanche",W19="F"),MONTH(X19)=MONTH($AH$7))</formula>
    </cfRule>
    <cfRule type="expression" dxfId="4000" priority="404">
      <formula>MONTH(X19)=MONTH($AH$7)</formula>
    </cfRule>
  </conditionalFormatting>
  <conditionalFormatting sqref="Y20:Z20">
    <cfRule type="expression" dxfId="3999" priority="399">
      <formula>AND(OR(X$5="Samedi",X$5="Dimanche",W19="F"),MONTH(X19)=MONTH($AH$7))</formula>
    </cfRule>
    <cfRule type="expression" dxfId="3998" priority="403">
      <formula>MONTH(X19)=MONTH($AH$7)</formula>
    </cfRule>
  </conditionalFormatting>
  <conditionalFormatting sqref="X22:Z22">
    <cfRule type="expression" dxfId="3997" priority="397">
      <formula>AND(OR(X$5="Samedi",X$5="Dimanche",W19="F"),MONTH(X19)=MONTH($AH$7))</formula>
    </cfRule>
    <cfRule type="expression" dxfId="3996" priority="398">
      <formula>MONTH(X19)=MONTH($AH$7)</formula>
    </cfRule>
  </conditionalFormatting>
  <conditionalFormatting sqref="X23:Z23">
    <cfRule type="expression" dxfId="3995" priority="407">
      <formula>AND(OR(X$5="Samedi",X$5="Dimanche",W19="F"),MONTH(X19)=MONTH($AH$7))</formula>
    </cfRule>
  </conditionalFormatting>
  <conditionalFormatting sqref="Y21:Z21">
    <cfRule type="expression" dxfId="3994" priority="395">
      <formula>AND(OR(X$5="Samedi",X$5="Dimanche",W19="F"),MONTH(X19)=MONTH($AH$7))</formula>
    </cfRule>
    <cfRule type="expression" dxfId="3993" priority="396">
      <formula>MONTH(X19)=MONTH($AH$7)</formula>
    </cfRule>
  </conditionalFormatting>
  <conditionalFormatting sqref="X21">
    <cfRule type="expression" dxfId="3992" priority="392">
      <formula>AND(OR(X$5="Samedi",X$5="Dimanche",W19="F"),MONTH(X19)=MONTH($AH$7))</formula>
    </cfRule>
    <cfRule type="expression" dxfId="3991" priority="393">
      <formula>MONTH(X19)=MONTH($AH$7)</formula>
    </cfRule>
  </conditionalFormatting>
  <conditionalFormatting sqref="AC23:AE23">
    <cfRule type="expression" dxfId="3990" priority="391">
      <formula>MONTH(AC19)=MONTH($AH$7)</formula>
    </cfRule>
  </conditionalFormatting>
  <conditionalFormatting sqref="AC19">
    <cfRule type="expression" dxfId="3989" priority="385">
      <formula>AND(OR(AC$5="Samedi",AC$5="Dimanche",AB19="F"),MONTH(AC19)=MONTH($AH$7))</formula>
    </cfRule>
    <cfRule type="expression" dxfId="3988" priority="389">
      <formula>MONTH(AC19)=MONTH($AH$7)</formula>
    </cfRule>
  </conditionalFormatting>
  <conditionalFormatting sqref="AD19">
    <cfRule type="expression" dxfId="3987" priority="384">
      <formula>AND(OR(AC$5="Samedi",AC$5="Dimanche",AB19="F"),MONTH(AC19)=MONTH($AH$7))</formula>
    </cfRule>
    <cfRule type="expression" dxfId="3986" priority="388">
      <formula>MONTH(AC19)=MONTH($AH$7)</formula>
    </cfRule>
  </conditionalFormatting>
  <conditionalFormatting sqref="AE19">
    <cfRule type="expression" dxfId="3985" priority="383">
      <formula>AND(OR(AC$5="Samedi",AC$5="Dimanche",AB19="F"),MONTH(AC19)=MONTH($AH$7))</formula>
    </cfRule>
    <cfRule type="expression" dxfId="3984" priority="387">
      <formula>MONTH(AC19)=MONTH($AH$7)</formula>
    </cfRule>
  </conditionalFormatting>
  <conditionalFormatting sqref="AD20:AE20">
    <cfRule type="expression" dxfId="3983" priority="382">
      <formula>AND(OR(AC$5="Samedi",AC$5="Dimanche",AB19="F"),MONTH(AC19)=MONTH($AH$7))</formula>
    </cfRule>
    <cfRule type="expression" dxfId="3982" priority="386">
      <formula>MONTH(AC19)=MONTH($AH$7)</formula>
    </cfRule>
  </conditionalFormatting>
  <conditionalFormatting sqref="AC22:AE22">
    <cfRule type="expression" dxfId="3981" priority="380">
      <formula>AND(OR(AC$5="Samedi",AC$5="Dimanche",AB19="F"),MONTH(AC19)=MONTH($AH$7))</formula>
    </cfRule>
    <cfRule type="expression" dxfId="3980" priority="381">
      <formula>MONTH(AC19)=MONTH($AH$7)</formula>
    </cfRule>
  </conditionalFormatting>
  <conditionalFormatting sqref="AC23:AE23">
    <cfRule type="expression" dxfId="3979" priority="390">
      <formula>AND(OR(AC$5="Samedi",AC$5="Dimanche",AB19="F"),MONTH(AC19)=MONTH($AH$7))</formula>
    </cfRule>
  </conditionalFormatting>
  <conditionalFormatting sqref="AD21:AE21">
    <cfRule type="expression" dxfId="3978" priority="378">
      <formula>AND(OR(AC$5="Samedi",AC$5="Dimanche",AB19="F"),MONTH(AC19)=MONTH($AH$7))</formula>
    </cfRule>
    <cfRule type="expression" dxfId="3977" priority="379">
      <formula>MONTH(AC19)=MONTH($AH$7)</formula>
    </cfRule>
  </conditionalFormatting>
  <conditionalFormatting sqref="AC21">
    <cfRule type="expression" dxfId="3976" priority="375">
      <formula>AND(OR(AC$5="Samedi",AC$5="Dimanche",AB19="F"),MONTH(AC19)=MONTH($AH$7))</formula>
    </cfRule>
    <cfRule type="expression" dxfId="3975" priority="376">
      <formula>MONTH(AC19)=MONTH($AH$7)</formula>
    </cfRule>
  </conditionalFormatting>
  <conditionalFormatting sqref="AH23:AJ23">
    <cfRule type="expression" dxfId="3974" priority="374">
      <formula>MONTH(AH19)=MONTH($AH$7)</formula>
    </cfRule>
  </conditionalFormatting>
  <conditionalFormatting sqref="AH19">
    <cfRule type="expression" dxfId="3973" priority="368">
      <formula>AND(OR(AH$5="Samedi",AH$5="Dimanche",AG19="F"),MONTH(AH19)=MONTH($AH$7))</formula>
    </cfRule>
    <cfRule type="expression" dxfId="3972" priority="372">
      <formula>MONTH(AH19)=MONTH($AH$7)</formula>
    </cfRule>
  </conditionalFormatting>
  <conditionalFormatting sqref="AI19">
    <cfRule type="expression" dxfId="3971" priority="367">
      <formula>AND(OR(AH$5="Samedi",AH$5="Dimanche",AG19="F"),MONTH(AH19)=MONTH($AH$7))</formula>
    </cfRule>
    <cfRule type="expression" dxfId="3970" priority="371">
      <formula>MONTH(AH19)=MONTH($AH$7)</formula>
    </cfRule>
  </conditionalFormatting>
  <conditionalFormatting sqref="AJ19">
    <cfRule type="expression" dxfId="3969" priority="366">
      <formula>AND(OR(AH$5="Samedi",AH$5="Dimanche",AG19="F"),MONTH(AH19)=MONTH($AH$7))</formula>
    </cfRule>
    <cfRule type="expression" dxfId="3968" priority="370">
      <formula>MONTH(AH19)=MONTH($AH$7)</formula>
    </cfRule>
  </conditionalFormatting>
  <conditionalFormatting sqref="AI20:AJ20">
    <cfRule type="expression" dxfId="3967" priority="365">
      <formula>AND(OR(AH$5="Samedi",AH$5="Dimanche",AG19="F"),MONTH(AH19)=MONTH($AH$7))</formula>
    </cfRule>
    <cfRule type="expression" dxfId="3966" priority="369">
      <formula>MONTH(AH19)=MONTH($AH$7)</formula>
    </cfRule>
  </conditionalFormatting>
  <conditionalFormatting sqref="AH22:AJ22">
    <cfRule type="expression" dxfId="3965" priority="363">
      <formula>AND(OR(AH$5="Samedi",AH$5="Dimanche",AG19="F"),MONTH(AH19)=MONTH($AH$7))</formula>
    </cfRule>
    <cfRule type="expression" dxfId="3964" priority="364">
      <formula>MONTH(AH19)=MONTH($AH$7)</formula>
    </cfRule>
  </conditionalFormatting>
  <conditionalFormatting sqref="AH23:AJ23">
    <cfRule type="expression" dxfId="3963" priority="373">
      <formula>AND(OR(AH$5="Samedi",AH$5="Dimanche",AG19="F"),MONTH(AH19)=MONTH($AH$7))</formula>
    </cfRule>
  </conditionalFormatting>
  <conditionalFormatting sqref="AI21:AJ21">
    <cfRule type="expression" dxfId="3962" priority="361">
      <formula>AND(OR(AH$5="Samedi",AH$5="Dimanche",AG19="F"),MONTH(AH19)=MONTH($AH$7))</formula>
    </cfRule>
    <cfRule type="expression" dxfId="3961" priority="362">
      <formula>MONTH(AH19)=MONTH($AH$7)</formula>
    </cfRule>
  </conditionalFormatting>
  <conditionalFormatting sqref="AH21">
    <cfRule type="expression" dxfId="3960" priority="358">
      <formula>AND(OR(AH$5="Samedi",AH$5="Dimanche",AG19="F"),MONTH(AH19)=MONTH($AH$7))</formula>
    </cfRule>
    <cfRule type="expression" dxfId="3959" priority="359">
      <formula>MONTH(AH19)=MONTH($AH$7)</formula>
    </cfRule>
  </conditionalFormatting>
  <conditionalFormatting sqref="D29:F29">
    <cfRule type="expression" dxfId="3958" priority="357">
      <formula>MONTH(D25)=MONTH($AH$7)</formula>
    </cfRule>
  </conditionalFormatting>
  <conditionalFormatting sqref="D25">
    <cfRule type="expression" dxfId="3957" priority="351">
      <formula>AND(OR(D$5="Samedi",D$5="Dimanche",C25="F"),MONTH(D25)=MONTH($AH$7))</formula>
    </cfRule>
    <cfRule type="expression" dxfId="3956" priority="355">
      <formula>MONTH(D25)=MONTH($AH$7)</formula>
    </cfRule>
  </conditionalFormatting>
  <conditionalFormatting sqref="E25">
    <cfRule type="expression" dxfId="3955" priority="350">
      <formula>AND(OR(D$5="Samedi",D$5="Dimanche",C25="F"),MONTH(D25)=MONTH($AH$7))</formula>
    </cfRule>
    <cfRule type="expression" dxfId="3954" priority="354">
      <formula>MONTH(D25)=MONTH($AH$7)</formula>
    </cfRule>
  </conditionalFormatting>
  <conditionalFormatting sqref="F25">
    <cfRule type="expression" dxfId="3953" priority="349">
      <formula>AND(OR(D$5="Samedi",D$5="Dimanche",C25="F"),MONTH(D25)=MONTH($AH$7))</formula>
    </cfRule>
    <cfRule type="expression" dxfId="3952" priority="353">
      <formula>MONTH(D25)=MONTH($AH$7)</formula>
    </cfRule>
  </conditionalFormatting>
  <conditionalFormatting sqref="E26:F26">
    <cfRule type="expression" dxfId="3951" priority="348">
      <formula>AND(OR(D$5="Samedi",D$5="Dimanche",C25="F"),MONTH(D25)=MONTH($AH$7))</formula>
    </cfRule>
    <cfRule type="expression" dxfId="3950" priority="352">
      <formula>MONTH(D25)=MONTH($AH$7)</formula>
    </cfRule>
  </conditionalFormatting>
  <conditionalFormatting sqref="D28:F28">
    <cfRule type="expression" dxfId="3949" priority="346">
      <formula>AND(OR(D$5="Samedi",D$5="Dimanche",C25="F"),MONTH(D25)=MONTH($AH$7))</formula>
    </cfRule>
    <cfRule type="expression" dxfId="3948" priority="347">
      <formula>MONTH(D25)=MONTH($AH$7)</formula>
    </cfRule>
  </conditionalFormatting>
  <conditionalFormatting sqref="D29:F29">
    <cfRule type="expression" dxfId="3947" priority="356">
      <formula>AND(OR(D$5="Samedi",D$5="Dimanche",C25="F"),MONTH(D25)=MONTH($AH$7))</formula>
    </cfRule>
  </conditionalFormatting>
  <conditionalFormatting sqref="E27:F27">
    <cfRule type="expression" dxfId="3946" priority="344">
      <formula>AND(OR(D$5="Samedi",D$5="Dimanche",C25="F"),MONTH(D25)=MONTH($AH$7))</formula>
    </cfRule>
    <cfRule type="expression" dxfId="3945" priority="345">
      <formula>MONTH(D25)=MONTH($AH$7)</formula>
    </cfRule>
  </conditionalFormatting>
  <conditionalFormatting sqref="D27">
    <cfRule type="expression" dxfId="3944" priority="341">
      <formula>AND(OR(D$5="Samedi",D$5="Dimanche",C25="F"),MONTH(D25)=MONTH($AH$7))</formula>
    </cfRule>
    <cfRule type="expression" dxfId="3943" priority="342">
      <formula>MONTH(D25)=MONTH($AH$7)</formula>
    </cfRule>
  </conditionalFormatting>
  <conditionalFormatting sqref="I29:K29">
    <cfRule type="expression" dxfId="3942" priority="340">
      <formula>MONTH(I25)=MONTH($AH$7)</formula>
    </cfRule>
  </conditionalFormatting>
  <conditionalFormatting sqref="I25">
    <cfRule type="expression" dxfId="3941" priority="334">
      <formula>AND(OR(I$5="Samedi",I$5="Dimanche",H25="F"),MONTH(I25)=MONTH($AH$7))</formula>
    </cfRule>
    <cfRule type="expression" dxfId="3940" priority="338">
      <formula>MONTH(I25)=MONTH($AH$7)</formula>
    </cfRule>
  </conditionalFormatting>
  <conditionalFormatting sqref="J25">
    <cfRule type="expression" dxfId="3939" priority="333">
      <formula>AND(OR(I$5="Samedi",I$5="Dimanche",H25="F"),MONTH(I25)=MONTH($AH$7))</formula>
    </cfRule>
    <cfRule type="expression" dxfId="3938" priority="337">
      <formula>MONTH(I25)=MONTH($AH$7)</formula>
    </cfRule>
  </conditionalFormatting>
  <conditionalFormatting sqref="K25">
    <cfRule type="expression" dxfId="3937" priority="332">
      <formula>AND(OR(I$5="Samedi",I$5="Dimanche",H25="F"),MONTH(I25)=MONTH($AH$7))</formula>
    </cfRule>
    <cfRule type="expression" dxfId="3936" priority="336">
      <formula>MONTH(I25)=MONTH($AH$7)</formula>
    </cfRule>
  </conditionalFormatting>
  <conditionalFormatting sqref="J26:K26">
    <cfRule type="expression" dxfId="3935" priority="331">
      <formula>AND(OR(I$5="Samedi",I$5="Dimanche",H25="F"),MONTH(I25)=MONTH($AH$7))</formula>
    </cfRule>
    <cfRule type="expression" dxfId="3934" priority="335">
      <formula>MONTH(I25)=MONTH($AH$7)</formula>
    </cfRule>
  </conditionalFormatting>
  <conditionalFormatting sqref="I28:K28">
    <cfRule type="expression" dxfId="3933" priority="329">
      <formula>AND(OR(I$5="Samedi",I$5="Dimanche",H25="F"),MONTH(I25)=MONTH($AH$7))</formula>
    </cfRule>
    <cfRule type="expression" dxfId="3932" priority="330">
      <formula>MONTH(I25)=MONTH($AH$7)</formula>
    </cfRule>
  </conditionalFormatting>
  <conditionalFormatting sqref="I29:K29">
    <cfRule type="expression" dxfId="3931" priority="339">
      <formula>AND(OR(I$5="Samedi",I$5="Dimanche",H25="F"),MONTH(I25)=MONTH($AH$7))</formula>
    </cfRule>
  </conditionalFormatting>
  <conditionalFormatting sqref="J27:K27">
    <cfRule type="expression" dxfId="3930" priority="327">
      <formula>AND(OR(I$5="Samedi",I$5="Dimanche",H25="F"),MONTH(I25)=MONTH($AH$7))</formula>
    </cfRule>
    <cfRule type="expression" dxfId="3929" priority="328">
      <formula>MONTH(I25)=MONTH($AH$7)</formula>
    </cfRule>
  </conditionalFormatting>
  <conditionalFormatting sqref="I27">
    <cfRule type="expression" dxfId="3928" priority="324">
      <formula>AND(OR(I$5="Samedi",I$5="Dimanche",H25="F"),MONTH(I25)=MONTH($AH$7))</formula>
    </cfRule>
    <cfRule type="expression" dxfId="3927" priority="325">
      <formula>MONTH(I25)=MONTH($AH$7)</formula>
    </cfRule>
  </conditionalFormatting>
  <conditionalFormatting sqref="N29:P29">
    <cfRule type="expression" dxfId="3926" priority="323">
      <formula>MONTH(N25)=MONTH($AH$7)</formula>
    </cfRule>
  </conditionalFormatting>
  <conditionalFormatting sqref="N25">
    <cfRule type="expression" dxfId="3925" priority="317">
      <formula>AND(OR(N$5="Samedi",N$5="Dimanche",M25="F"),MONTH(N25)=MONTH($AH$7))</formula>
    </cfRule>
    <cfRule type="expression" dxfId="3924" priority="321">
      <formula>MONTH(N25)=MONTH($AH$7)</formula>
    </cfRule>
  </conditionalFormatting>
  <conditionalFormatting sqref="O25">
    <cfRule type="expression" dxfId="3923" priority="316">
      <formula>AND(OR(N$5="Samedi",N$5="Dimanche",M25="F"),MONTH(N25)=MONTH($AH$7))</formula>
    </cfRule>
    <cfRule type="expression" dxfId="3922" priority="320">
      <formula>MONTH(N25)=MONTH($AH$7)</formula>
    </cfRule>
  </conditionalFormatting>
  <conditionalFormatting sqref="P25">
    <cfRule type="expression" dxfId="3921" priority="315">
      <formula>AND(OR(N$5="Samedi",N$5="Dimanche",M25="F"),MONTH(N25)=MONTH($AH$7))</formula>
    </cfRule>
    <cfRule type="expression" dxfId="3920" priority="319">
      <formula>MONTH(N25)=MONTH($AH$7)</formula>
    </cfRule>
  </conditionalFormatting>
  <conditionalFormatting sqref="O26:P26">
    <cfRule type="expression" dxfId="3919" priority="314">
      <formula>AND(OR(N$5="Samedi",N$5="Dimanche",M25="F"),MONTH(N25)=MONTH($AH$7))</formula>
    </cfRule>
    <cfRule type="expression" dxfId="3918" priority="318">
      <formula>MONTH(N25)=MONTH($AH$7)</formula>
    </cfRule>
  </conditionalFormatting>
  <conditionalFormatting sqref="N28:P28">
    <cfRule type="expression" dxfId="3917" priority="312">
      <formula>AND(OR(N$5="Samedi",N$5="Dimanche",M25="F"),MONTH(N25)=MONTH($AH$7))</formula>
    </cfRule>
    <cfRule type="expression" dxfId="3916" priority="313">
      <formula>MONTH(N25)=MONTH($AH$7)</formula>
    </cfRule>
  </conditionalFormatting>
  <conditionalFormatting sqref="N29:P29">
    <cfRule type="expression" dxfId="3915" priority="322">
      <formula>AND(OR(N$5="Samedi",N$5="Dimanche",M25="F"),MONTH(N25)=MONTH($AH$7))</formula>
    </cfRule>
  </conditionalFormatting>
  <conditionalFormatting sqref="O27:P27">
    <cfRule type="expression" dxfId="3914" priority="310">
      <formula>AND(OR(N$5="Samedi",N$5="Dimanche",M25="F"),MONTH(N25)=MONTH($AH$7))</formula>
    </cfRule>
    <cfRule type="expression" dxfId="3913" priority="311">
      <formula>MONTH(N25)=MONTH($AH$7)</formula>
    </cfRule>
  </conditionalFormatting>
  <conditionalFormatting sqref="N27">
    <cfRule type="expression" dxfId="3912" priority="307">
      <formula>AND(OR(N$5="Samedi",N$5="Dimanche",M25="F"),MONTH(N25)=MONTH($AH$7))</formula>
    </cfRule>
    <cfRule type="expression" dxfId="3911" priority="308">
      <formula>MONTH(N25)=MONTH($AH$7)</formula>
    </cfRule>
  </conditionalFormatting>
  <conditionalFormatting sqref="S29:U29">
    <cfRule type="expression" dxfId="3910" priority="306">
      <formula>MONTH(S25)=MONTH($AH$7)</formula>
    </cfRule>
  </conditionalFormatting>
  <conditionalFormatting sqref="S25">
    <cfRule type="expression" dxfId="3909" priority="300">
      <formula>AND(OR(S$5="Samedi",S$5="Dimanche",R25="F"),MONTH(S25)=MONTH($AH$7))</formula>
    </cfRule>
    <cfRule type="expression" dxfId="3908" priority="304">
      <formula>MONTH(S25)=MONTH($AH$7)</formula>
    </cfRule>
  </conditionalFormatting>
  <conditionalFormatting sqref="T25">
    <cfRule type="expression" dxfId="3907" priority="299">
      <formula>AND(OR(S$5="Samedi",S$5="Dimanche",R25="F"),MONTH(S25)=MONTH($AH$7))</formula>
    </cfRule>
    <cfRule type="expression" dxfId="3906" priority="303">
      <formula>MONTH(S25)=MONTH($AH$7)</formula>
    </cfRule>
  </conditionalFormatting>
  <conditionalFormatting sqref="U25">
    <cfRule type="expression" dxfId="3905" priority="298">
      <formula>AND(OR(S$5="Samedi",S$5="Dimanche",R25="F"),MONTH(S25)=MONTH($AH$7))</formula>
    </cfRule>
    <cfRule type="expression" dxfId="3904" priority="302">
      <formula>MONTH(S25)=MONTH($AH$7)</formula>
    </cfRule>
  </conditionalFormatting>
  <conditionalFormatting sqref="T26:U26">
    <cfRule type="expression" dxfId="3903" priority="297">
      <formula>AND(OR(S$5="Samedi",S$5="Dimanche",R25="F"),MONTH(S25)=MONTH($AH$7))</formula>
    </cfRule>
    <cfRule type="expression" dxfId="3902" priority="301">
      <formula>MONTH(S25)=MONTH($AH$7)</formula>
    </cfRule>
  </conditionalFormatting>
  <conditionalFormatting sqref="S28:U28">
    <cfRule type="expression" dxfId="3901" priority="295">
      <formula>AND(OR(S$5="Samedi",S$5="Dimanche",R25="F"),MONTH(S25)=MONTH($AH$7))</formula>
    </cfRule>
    <cfRule type="expression" dxfId="3900" priority="296">
      <formula>MONTH(S25)=MONTH($AH$7)</formula>
    </cfRule>
  </conditionalFormatting>
  <conditionalFormatting sqref="S29:U29">
    <cfRule type="expression" dxfId="3899" priority="305">
      <formula>AND(OR(S$5="Samedi",S$5="Dimanche",R25="F"),MONTH(S25)=MONTH($AH$7))</formula>
    </cfRule>
  </conditionalFormatting>
  <conditionalFormatting sqref="T27:U27">
    <cfRule type="expression" dxfId="3898" priority="293">
      <formula>AND(OR(S$5="Samedi",S$5="Dimanche",R25="F"),MONTH(S25)=MONTH($AH$7))</formula>
    </cfRule>
    <cfRule type="expression" dxfId="3897" priority="294">
      <formula>MONTH(S25)=MONTH($AH$7)</formula>
    </cfRule>
  </conditionalFormatting>
  <conditionalFormatting sqref="S27">
    <cfRule type="expression" dxfId="3896" priority="290">
      <formula>AND(OR(S$5="Samedi",S$5="Dimanche",R25="F"),MONTH(S25)=MONTH($AH$7))</formula>
    </cfRule>
    <cfRule type="expression" dxfId="3895" priority="291">
      <formula>MONTH(S25)=MONTH($AH$7)</formula>
    </cfRule>
  </conditionalFormatting>
  <conditionalFormatting sqref="X29:Z29">
    <cfRule type="expression" dxfId="3894" priority="289">
      <formula>MONTH(X25)=MONTH($AH$7)</formula>
    </cfRule>
  </conditionalFormatting>
  <conditionalFormatting sqref="X25">
    <cfRule type="expression" dxfId="3893" priority="283">
      <formula>AND(OR(X$5="Samedi",X$5="Dimanche",W25="F"),MONTH(X25)=MONTH($AH$7))</formula>
    </cfRule>
    <cfRule type="expression" dxfId="3892" priority="287">
      <formula>MONTH(X25)=MONTH($AH$7)</formula>
    </cfRule>
  </conditionalFormatting>
  <conditionalFormatting sqref="Y25">
    <cfRule type="expression" dxfId="3891" priority="282">
      <formula>AND(OR(X$5="Samedi",X$5="Dimanche",W25="F"),MONTH(X25)=MONTH($AH$7))</formula>
    </cfRule>
    <cfRule type="expression" dxfId="3890" priority="286">
      <formula>MONTH(X25)=MONTH($AH$7)</formula>
    </cfRule>
  </conditionalFormatting>
  <conditionalFormatting sqref="Z25">
    <cfRule type="expression" dxfId="3889" priority="281">
      <formula>AND(OR(X$5="Samedi",X$5="Dimanche",W25="F"),MONTH(X25)=MONTH($AH$7))</formula>
    </cfRule>
    <cfRule type="expression" dxfId="3888" priority="285">
      <formula>MONTH(X25)=MONTH($AH$7)</formula>
    </cfRule>
  </conditionalFormatting>
  <conditionalFormatting sqref="Y26:Z26">
    <cfRule type="expression" dxfId="3887" priority="280">
      <formula>AND(OR(X$5="Samedi",X$5="Dimanche",W25="F"),MONTH(X25)=MONTH($AH$7))</formula>
    </cfRule>
    <cfRule type="expression" dxfId="3886" priority="284">
      <formula>MONTH(X25)=MONTH($AH$7)</formula>
    </cfRule>
  </conditionalFormatting>
  <conditionalFormatting sqref="X28:Z28">
    <cfRule type="expression" dxfId="3885" priority="278">
      <formula>AND(OR(X$5="Samedi",X$5="Dimanche",W25="F"),MONTH(X25)=MONTH($AH$7))</formula>
    </cfRule>
    <cfRule type="expression" dxfId="3884" priority="279">
      <formula>MONTH(X25)=MONTH($AH$7)</formula>
    </cfRule>
  </conditionalFormatting>
  <conditionalFormatting sqref="X29:Z29">
    <cfRule type="expression" dxfId="3883" priority="288">
      <formula>AND(OR(X$5="Samedi",X$5="Dimanche",W25="F"),MONTH(X25)=MONTH($AH$7))</formula>
    </cfRule>
  </conditionalFormatting>
  <conditionalFormatting sqref="Y27:Z27">
    <cfRule type="expression" dxfId="3882" priority="276">
      <formula>AND(OR(X$5="Samedi",X$5="Dimanche",W25="F"),MONTH(X25)=MONTH($AH$7))</formula>
    </cfRule>
    <cfRule type="expression" dxfId="3881" priority="277">
      <formula>MONTH(X25)=MONTH($AH$7)</formula>
    </cfRule>
  </conditionalFormatting>
  <conditionalFormatting sqref="X27">
    <cfRule type="expression" dxfId="3880" priority="273">
      <formula>AND(OR(X$5="Samedi",X$5="Dimanche",W25="F"),MONTH(X25)=MONTH($AH$7))</formula>
    </cfRule>
    <cfRule type="expression" dxfId="3879" priority="274">
      <formula>MONTH(X25)=MONTH($AH$7)</formula>
    </cfRule>
  </conditionalFormatting>
  <conditionalFormatting sqref="AC29:AE29">
    <cfRule type="expression" dxfId="3878" priority="272">
      <formula>MONTH(AC25)=MONTH($AH$7)</formula>
    </cfRule>
  </conditionalFormatting>
  <conditionalFormatting sqref="AC25">
    <cfRule type="expression" dxfId="3877" priority="266">
      <formula>AND(OR(AC$5="Samedi",AC$5="Dimanche",AB25="F"),MONTH(AC25)=MONTH($AH$7))</formula>
    </cfRule>
    <cfRule type="expression" dxfId="3876" priority="270">
      <formula>MONTH(AC25)=MONTH($AH$7)</formula>
    </cfRule>
  </conditionalFormatting>
  <conditionalFormatting sqref="AD25">
    <cfRule type="expression" dxfId="3875" priority="265">
      <formula>AND(OR(AC$5="Samedi",AC$5="Dimanche",AB25="F"),MONTH(AC25)=MONTH($AH$7))</formula>
    </cfRule>
    <cfRule type="expression" dxfId="3874" priority="269">
      <formula>MONTH(AC25)=MONTH($AH$7)</formula>
    </cfRule>
  </conditionalFormatting>
  <conditionalFormatting sqref="AE25">
    <cfRule type="expression" dxfId="3873" priority="264">
      <formula>AND(OR(AC$5="Samedi",AC$5="Dimanche",AB25="F"),MONTH(AC25)=MONTH($AH$7))</formula>
    </cfRule>
    <cfRule type="expression" dxfId="3872" priority="268">
      <formula>MONTH(AC25)=MONTH($AH$7)</formula>
    </cfRule>
  </conditionalFormatting>
  <conditionalFormatting sqref="AD26:AE26">
    <cfRule type="expression" dxfId="3871" priority="263">
      <formula>AND(OR(AC$5="Samedi",AC$5="Dimanche",AB25="F"),MONTH(AC25)=MONTH($AH$7))</formula>
    </cfRule>
    <cfRule type="expression" dxfId="3870" priority="267">
      <formula>MONTH(AC25)=MONTH($AH$7)</formula>
    </cfRule>
  </conditionalFormatting>
  <conditionalFormatting sqref="AC28:AE28">
    <cfRule type="expression" dxfId="3869" priority="261">
      <formula>AND(OR(AC$5="Samedi",AC$5="Dimanche",AB25="F"),MONTH(AC25)=MONTH($AH$7))</formula>
    </cfRule>
    <cfRule type="expression" dxfId="3868" priority="262">
      <formula>MONTH(AC25)=MONTH($AH$7)</formula>
    </cfRule>
  </conditionalFormatting>
  <conditionalFormatting sqref="AC29:AE29">
    <cfRule type="expression" dxfId="3867" priority="271">
      <formula>AND(OR(AC$5="Samedi",AC$5="Dimanche",AB25="F"),MONTH(AC25)=MONTH($AH$7))</formula>
    </cfRule>
  </conditionalFormatting>
  <conditionalFormatting sqref="AD27:AE27">
    <cfRule type="expression" dxfId="3866" priority="259">
      <formula>AND(OR(AC$5="Samedi",AC$5="Dimanche",AB25="F"),MONTH(AC25)=MONTH($AH$7))</formula>
    </cfRule>
    <cfRule type="expression" dxfId="3865" priority="260">
      <formula>MONTH(AC25)=MONTH($AH$7)</formula>
    </cfRule>
  </conditionalFormatting>
  <conditionalFormatting sqref="AC27">
    <cfRule type="expression" dxfId="3864" priority="256">
      <formula>AND(OR(AC$5="Samedi",AC$5="Dimanche",AB25="F"),MONTH(AC25)=MONTH($AH$7))</formula>
    </cfRule>
    <cfRule type="expression" dxfId="3863" priority="257">
      <formula>MONTH(AC25)=MONTH($AH$7)</formula>
    </cfRule>
  </conditionalFormatting>
  <conditionalFormatting sqref="AH29:AJ29">
    <cfRule type="expression" dxfId="3862" priority="255">
      <formula>MONTH(AH25)=MONTH($AH$7)</formula>
    </cfRule>
  </conditionalFormatting>
  <conditionalFormatting sqref="AH25">
    <cfRule type="expression" dxfId="3861" priority="249">
      <formula>AND(OR(AH$5="Samedi",AH$5="Dimanche",AG25="F"),MONTH(AH25)=MONTH($AH$7))</formula>
    </cfRule>
    <cfRule type="expression" dxfId="3860" priority="253">
      <formula>MONTH(AH25)=MONTH($AH$7)</formula>
    </cfRule>
  </conditionalFormatting>
  <conditionalFormatting sqref="AI25">
    <cfRule type="expression" dxfId="3859" priority="248">
      <formula>AND(OR(AH$5="Samedi",AH$5="Dimanche",AG25="F"),MONTH(AH25)=MONTH($AH$7))</formula>
    </cfRule>
    <cfRule type="expression" dxfId="3858" priority="252">
      <formula>MONTH(AH25)=MONTH($AH$7)</formula>
    </cfRule>
  </conditionalFormatting>
  <conditionalFormatting sqref="AJ25">
    <cfRule type="expression" dxfId="3857" priority="247">
      <formula>AND(OR(AH$5="Samedi",AH$5="Dimanche",AG25="F"),MONTH(AH25)=MONTH($AH$7))</formula>
    </cfRule>
    <cfRule type="expression" dxfId="3856" priority="251">
      <formula>MONTH(AH25)=MONTH($AH$7)</formula>
    </cfRule>
  </conditionalFormatting>
  <conditionalFormatting sqref="AI26:AJ26">
    <cfRule type="expression" dxfId="3855" priority="246">
      <formula>AND(OR(AH$5="Samedi",AH$5="Dimanche",AG25="F"),MONTH(AH25)=MONTH($AH$7))</formula>
    </cfRule>
    <cfRule type="expression" dxfId="3854" priority="250">
      <formula>MONTH(AH25)=MONTH($AH$7)</formula>
    </cfRule>
  </conditionalFormatting>
  <conditionalFormatting sqref="AH28:AJ28">
    <cfRule type="expression" dxfId="3853" priority="244">
      <formula>AND(OR(AH$5="Samedi",AH$5="Dimanche",AG25="F"),MONTH(AH25)=MONTH($AH$7))</formula>
    </cfRule>
    <cfRule type="expression" dxfId="3852" priority="245">
      <formula>MONTH(AH25)=MONTH($AH$7)</formula>
    </cfRule>
  </conditionalFormatting>
  <conditionalFormatting sqref="AH29:AJ29">
    <cfRule type="expression" dxfId="3851" priority="254">
      <formula>AND(OR(AH$5="Samedi",AH$5="Dimanche",AG25="F"),MONTH(AH25)=MONTH($AH$7))</formula>
    </cfRule>
  </conditionalFormatting>
  <conditionalFormatting sqref="AI27:AJ27">
    <cfRule type="expression" dxfId="3850" priority="242">
      <formula>AND(OR(AH$5="Samedi",AH$5="Dimanche",AG25="F"),MONTH(AH25)=MONTH($AH$7))</formula>
    </cfRule>
    <cfRule type="expression" dxfId="3849" priority="243">
      <formula>MONTH(AH25)=MONTH($AH$7)</formula>
    </cfRule>
  </conditionalFormatting>
  <conditionalFormatting sqref="AH27">
    <cfRule type="expression" dxfId="3848" priority="239">
      <formula>AND(OR(AH$5="Samedi",AH$5="Dimanche",AG25="F"),MONTH(AH25)=MONTH($AH$7))</formula>
    </cfRule>
    <cfRule type="expression" dxfId="3847" priority="240">
      <formula>MONTH(AH25)=MONTH($AH$7)</formula>
    </cfRule>
  </conditionalFormatting>
  <conditionalFormatting sqref="D35:F35">
    <cfRule type="expression" dxfId="3846" priority="238">
      <formula>MONTH(D31)=MONTH($AH$7)</formula>
    </cfRule>
  </conditionalFormatting>
  <conditionalFormatting sqref="D31">
    <cfRule type="expression" dxfId="3845" priority="232">
      <formula>AND(OR(D$5="Samedi",D$5="Dimanche",C31="F"),MONTH(D31)=MONTH($AH$7))</formula>
    </cfRule>
    <cfRule type="expression" dxfId="3844" priority="236">
      <formula>MONTH(D31)=MONTH($AH$7)</formula>
    </cfRule>
  </conditionalFormatting>
  <conditionalFormatting sqref="E31">
    <cfRule type="expression" dxfId="3843" priority="231">
      <formula>AND(OR(D$5="Samedi",D$5="Dimanche",C31="F"),MONTH(D31)=MONTH($AH$7))</formula>
    </cfRule>
    <cfRule type="expression" dxfId="3842" priority="235">
      <formula>MONTH(D31)=MONTH($AH$7)</formula>
    </cfRule>
  </conditionalFormatting>
  <conditionalFormatting sqref="F31">
    <cfRule type="expression" dxfId="3841" priority="230">
      <formula>AND(OR(D$5="Samedi",D$5="Dimanche",C31="F"),MONTH(D31)=MONTH($AH$7))</formula>
    </cfRule>
    <cfRule type="expression" dxfId="3840" priority="234">
      <formula>MONTH(D31)=MONTH($AH$7)</formula>
    </cfRule>
  </conditionalFormatting>
  <conditionalFormatting sqref="E32:F32">
    <cfRule type="expression" dxfId="3839" priority="229">
      <formula>AND(OR(D$5="Samedi",D$5="Dimanche",C31="F"),MONTH(D31)=MONTH($AH$7))</formula>
    </cfRule>
    <cfRule type="expression" dxfId="3838" priority="233">
      <formula>MONTH(D31)=MONTH($AH$7)</formula>
    </cfRule>
  </conditionalFormatting>
  <conditionalFormatting sqref="D34:F34">
    <cfRule type="expression" dxfId="3837" priority="227">
      <formula>AND(OR(D$5="Samedi",D$5="Dimanche",C31="F"),MONTH(D31)=MONTH($AH$7))</formula>
    </cfRule>
    <cfRule type="expression" dxfId="3836" priority="228">
      <formula>MONTH(D31)=MONTH($AH$7)</formula>
    </cfRule>
  </conditionalFormatting>
  <conditionalFormatting sqref="D35:F35">
    <cfRule type="expression" dxfId="3835" priority="237">
      <formula>AND(OR(D$5="Samedi",D$5="Dimanche",C31="F"),MONTH(D31)=MONTH($AH$7))</formula>
    </cfRule>
  </conditionalFormatting>
  <conditionalFormatting sqref="E33:F33">
    <cfRule type="expression" dxfId="3834" priority="225">
      <formula>AND(OR(D$5="Samedi",D$5="Dimanche",C31="F"),MONTH(D31)=MONTH($AH$7))</formula>
    </cfRule>
    <cfRule type="expression" dxfId="3833" priority="226">
      <formula>MONTH(D31)=MONTH($AH$7)</formula>
    </cfRule>
  </conditionalFormatting>
  <conditionalFormatting sqref="D33">
    <cfRule type="expression" dxfId="3832" priority="222">
      <formula>AND(OR(D$5="Samedi",D$5="Dimanche",C31="F"),MONTH(D31)=MONTH($AH$7))</formula>
    </cfRule>
    <cfRule type="expression" dxfId="3831" priority="223">
      <formula>MONTH(D31)=MONTH($AH$7)</formula>
    </cfRule>
  </conditionalFormatting>
  <conditionalFormatting sqref="I35:K35">
    <cfRule type="expression" dxfId="3830" priority="221">
      <formula>MONTH(I31)=MONTH($AH$7)</formula>
    </cfRule>
  </conditionalFormatting>
  <conditionalFormatting sqref="I31">
    <cfRule type="expression" dxfId="3829" priority="215">
      <formula>AND(OR(I$5="Samedi",I$5="Dimanche",H31="F"),MONTH(I31)=MONTH($AH$7))</formula>
    </cfRule>
    <cfRule type="expression" dxfId="3828" priority="219">
      <formula>MONTH(I31)=MONTH($AH$7)</formula>
    </cfRule>
  </conditionalFormatting>
  <conditionalFormatting sqref="J31">
    <cfRule type="expression" dxfId="3827" priority="214">
      <formula>AND(OR(I$5="Samedi",I$5="Dimanche",H31="F"),MONTH(I31)=MONTH($AH$7))</formula>
    </cfRule>
    <cfRule type="expression" dxfId="3826" priority="218">
      <formula>MONTH(I31)=MONTH($AH$7)</formula>
    </cfRule>
  </conditionalFormatting>
  <conditionalFormatting sqref="K31">
    <cfRule type="expression" dxfId="3825" priority="213">
      <formula>AND(OR(I$5="Samedi",I$5="Dimanche",H31="F"),MONTH(I31)=MONTH($AH$7))</formula>
    </cfRule>
    <cfRule type="expression" dxfId="3824" priority="217">
      <formula>MONTH(I31)=MONTH($AH$7)</formula>
    </cfRule>
  </conditionalFormatting>
  <conditionalFormatting sqref="J32:K32">
    <cfRule type="expression" dxfId="3823" priority="212">
      <formula>AND(OR(I$5="Samedi",I$5="Dimanche",H31="F"),MONTH(I31)=MONTH($AH$7))</formula>
    </cfRule>
    <cfRule type="expression" dxfId="3822" priority="216">
      <formula>MONTH(I31)=MONTH($AH$7)</formula>
    </cfRule>
  </conditionalFormatting>
  <conditionalFormatting sqref="I34:K34">
    <cfRule type="expression" dxfId="3821" priority="210">
      <formula>AND(OR(I$5="Samedi",I$5="Dimanche",H31="F"),MONTH(I31)=MONTH($AH$7))</formula>
    </cfRule>
    <cfRule type="expression" dxfId="3820" priority="211">
      <formula>MONTH(I31)=MONTH($AH$7)</formula>
    </cfRule>
  </conditionalFormatting>
  <conditionalFormatting sqref="I35:K35">
    <cfRule type="expression" dxfId="3819" priority="220">
      <formula>AND(OR(I$5="Samedi",I$5="Dimanche",H31="F"),MONTH(I31)=MONTH($AH$7))</formula>
    </cfRule>
  </conditionalFormatting>
  <conditionalFormatting sqref="J33:K33">
    <cfRule type="expression" dxfId="3818" priority="208">
      <formula>AND(OR(I$5="Samedi",I$5="Dimanche",H31="F"),MONTH(I31)=MONTH($AH$7))</formula>
    </cfRule>
    <cfRule type="expression" dxfId="3817" priority="209">
      <formula>MONTH(I31)=MONTH($AH$7)</formula>
    </cfRule>
  </conditionalFormatting>
  <conditionalFormatting sqref="I33">
    <cfRule type="expression" dxfId="3816" priority="205">
      <formula>AND(OR(I$5="Samedi",I$5="Dimanche",H31="F"),MONTH(I31)=MONTH($AH$7))</formula>
    </cfRule>
    <cfRule type="expression" dxfId="3815" priority="206">
      <formula>MONTH(I31)=MONTH($AH$7)</formula>
    </cfRule>
  </conditionalFormatting>
  <conditionalFormatting sqref="N35:P35">
    <cfRule type="expression" dxfId="3814" priority="204">
      <formula>MONTH(N31)=MONTH($AH$7)</formula>
    </cfRule>
  </conditionalFormatting>
  <conditionalFormatting sqref="N31">
    <cfRule type="expression" dxfId="3813" priority="198">
      <formula>AND(OR(N$5="Samedi",N$5="Dimanche",M31="F"),MONTH(N31)=MONTH($AH$7))</formula>
    </cfRule>
    <cfRule type="expression" dxfId="3812" priority="202">
      <formula>MONTH(N31)=MONTH($AH$7)</formula>
    </cfRule>
  </conditionalFormatting>
  <conditionalFormatting sqref="O31">
    <cfRule type="expression" dxfId="3811" priority="197">
      <formula>AND(OR(N$5="Samedi",N$5="Dimanche",M31="F"),MONTH(N31)=MONTH($AH$7))</formula>
    </cfRule>
    <cfRule type="expression" dxfId="3810" priority="201">
      <formula>MONTH(N31)=MONTH($AH$7)</formula>
    </cfRule>
  </conditionalFormatting>
  <conditionalFormatting sqref="P31">
    <cfRule type="expression" dxfId="3809" priority="196">
      <formula>AND(OR(N$5="Samedi",N$5="Dimanche",M31="F"),MONTH(N31)=MONTH($AH$7))</formula>
    </cfRule>
    <cfRule type="expression" dxfId="3808" priority="200">
      <formula>MONTH(N31)=MONTH($AH$7)</formula>
    </cfRule>
  </conditionalFormatting>
  <conditionalFormatting sqref="O32:P32">
    <cfRule type="expression" dxfId="3807" priority="195">
      <formula>AND(OR(N$5="Samedi",N$5="Dimanche",M31="F"),MONTH(N31)=MONTH($AH$7))</formula>
    </cfRule>
    <cfRule type="expression" dxfId="3806" priority="199">
      <formula>MONTH(N31)=MONTH($AH$7)</formula>
    </cfRule>
  </conditionalFormatting>
  <conditionalFormatting sqref="N34:P34">
    <cfRule type="expression" dxfId="3805" priority="193">
      <formula>AND(OR(N$5="Samedi",N$5="Dimanche",M31="F"),MONTH(N31)=MONTH($AH$7))</formula>
    </cfRule>
    <cfRule type="expression" dxfId="3804" priority="194">
      <formula>MONTH(N31)=MONTH($AH$7)</formula>
    </cfRule>
  </conditionalFormatting>
  <conditionalFormatting sqref="N35:P35">
    <cfRule type="expression" dxfId="3803" priority="203">
      <formula>AND(OR(N$5="Samedi",N$5="Dimanche",M31="F"),MONTH(N31)=MONTH($AH$7))</formula>
    </cfRule>
  </conditionalFormatting>
  <conditionalFormatting sqref="O33:P33">
    <cfRule type="expression" dxfId="3802" priority="191">
      <formula>AND(OR(N$5="Samedi",N$5="Dimanche",M31="F"),MONTH(N31)=MONTH($AH$7))</formula>
    </cfRule>
    <cfRule type="expression" dxfId="3801" priority="192">
      <formula>MONTH(N31)=MONTH($AH$7)</formula>
    </cfRule>
  </conditionalFormatting>
  <conditionalFormatting sqref="N33">
    <cfRule type="expression" dxfId="3800" priority="188">
      <formula>AND(OR(N$5="Samedi",N$5="Dimanche",M31="F"),MONTH(N31)=MONTH($AH$7))</formula>
    </cfRule>
    <cfRule type="expression" dxfId="3799" priority="189">
      <formula>MONTH(N31)=MONTH($AH$7)</formula>
    </cfRule>
  </conditionalFormatting>
  <conditionalFormatting sqref="S35:U35">
    <cfRule type="expression" dxfId="3798" priority="187">
      <formula>MONTH(S31)=MONTH($AH$7)</formula>
    </cfRule>
  </conditionalFormatting>
  <conditionalFormatting sqref="S31">
    <cfRule type="expression" dxfId="3797" priority="181">
      <formula>AND(OR(S$5="Samedi",S$5="Dimanche",R31="F"),MONTH(S31)=MONTH($AH$7))</formula>
    </cfRule>
    <cfRule type="expression" dxfId="3796" priority="185">
      <formula>MONTH(S31)=MONTH($AH$7)</formula>
    </cfRule>
  </conditionalFormatting>
  <conditionalFormatting sqref="T31">
    <cfRule type="expression" dxfId="3795" priority="180">
      <formula>AND(OR(S$5="Samedi",S$5="Dimanche",R31="F"),MONTH(S31)=MONTH($AH$7))</formula>
    </cfRule>
    <cfRule type="expression" dxfId="3794" priority="184">
      <formula>MONTH(S31)=MONTH($AH$7)</formula>
    </cfRule>
  </conditionalFormatting>
  <conditionalFormatting sqref="U31">
    <cfRule type="expression" dxfId="3793" priority="179">
      <formula>AND(OR(S$5="Samedi",S$5="Dimanche",R31="F"),MONTH(S31)=MONTH($AH$7))</formula>
    </cfRule>
    <cfRule type="expression" dxfId="3792" priority="183">
      <formula>MONTH(S31)=MONTH($AH$7)</formula>
    </cfRule>
  </conditionalFormatting>
  <conditionalFormatting sqref="T32:U32">
    <cfRule type="expression" dxfId="3791" priority="178">
      <formula>AND(OR(S$5="Samedi",S$5="Dimanche",R31="F"),MONTH(S31)=MONTH($AH$7))</formula>
    </cfRule>
    <cfRule type="expression" dxfId="3790" priority="182">
      <formula>MONTH(S31)=MONTH($AH$7)</formula>
    </cfRule>
  </conditionalFormatting>
  <conditionalFormatting sqref="S34:U34">
    <cfRule type="expression" dxfId="3789" priority="176">
      <formula>AND(OR(S$5="Samedi",S$5="Dimanche",R31="F"),MONTH(S31)=MONTH($AH$7))</formula>
    </cfRule>
    <cfRule type="expression" dxfId="3788" priority="177">
      <formula>MONTH(S31)=MONTH($AH$7)</formula>
    </cfRule>
  </conditionalFormatting>
  <conditionalFormatting sqref="S35:U35">
    <cfRule type="expression" dxfId="3787" priority="186">
      <formula>AND(OR(S$5="Samedi",S$5="Dimanche",R31="F"),MONTH(S31)=MONTH($AH$7))</formula>
    </cfRule>
  </conditionalFormatting>
  <conditionalFormatting sqref="T33:U33">
    <cfRule type="expression" dxfId="3786" priority="174">
      <formula>AND(OR(S$5="Samedi",S$5="Dimanche",R31="F"),MONTH(S31)=MONTH($AH$7))</formula>
    </cfRule>
    <cfRule type="expression" dxfId="3785" priority="175">
      <formula>MONTH(S31)=MONTH($AH$7)</formula>
    </cfRule>
  </conditionalFormatting>
  <conditionalFormatting sqref="S33">
    <cfRule type="expression" dxfId="3784" priority="171">
      <formula>AND(OR(S$5="Samedi",S$5="Dimanche",R31="F"),MONTH(S31)=MONTH($AH$7))</formula>
    </cfRule>
    <cfRule type="expression" dxfId="3783" priority="172">
      <formula>MONTH(S31)=MONTH($AH$7)</formula>
    </cfRule>
  </conditionalFormatting>
  <conditionalFormatting sqref="X35:Z35">
    <cfRule type="expression" dxfId="3782" priority="170">
      <formula>MONTH(X31)=MONTH($AH$7)</formula>
    </cfRule>
  </conditionalFormatting>
  <conditionalFormatting sqref="X31">
    <cfRule type="expression" dxfId="3781" priority="164">
      <formula>AND(OR(X$5="Samedi",X$5="Dimanche",W31="F"),MONTH(X31)=MONTH($AH$7))</formula>
    </cfRule>
    <cfRule type="expression" dxfId="3780" priority="168">
      <formula>MONTH(X31)=MONTH($AH$7)</formula>
    </cfRule>
  </conditionalFormatting>
  <conditionalFormatting sqref="Y31">
    <cfRule type="expression" dxfId="3779" priority="163">
      <formula>AND(OR(X$5="Samedi",X$5="Dimanche",W31="F"),MONTH(X31)=MONTH($AH$7))</formula>
    </cfRule>
    <cfRule type="expression" dxfId="3778" priority="167">
      <formula>MONTH(X31)=MONTH($AH$7)</formula>
    </cfRule>
  </conditionalFormatting>
  <conditionalFormatting sqref="Z31">
    <cfRule type="expression" dxfId="3777" priority="162">
      <formula>AND(OR(X$5="Samedi",X$5="Dimanche",W31="F"),MONTH(X31)=MONTH($AH$7))</formula>
    </cfRule>
    <cfRule type="expression" dxfId="3776" priority="166">
      <formula>MONTH(X31)=MONTH($AH$7)</formula>
    </cfRule>
  </conditionalFormatting>
  <conditionalFormatting sqref="Y32:Z32">
    <cfRule type="expression" dxfId="3775" priority="161">
      <formula>AND(OR(X$5="Samedi",X$5="Dimanche",W31="F"),MONTH(X31)=MONTH($AH$7))</formula>
    </cfRule>
    <cfRule type="expression" dxfId="3774" priority="165">
      <formula>MONTH(X31)=MONTH($AH$7)</formula>
    </cfRule>
  </conditionalFormatting>
  <conditionalFormatting sqref="X34:Z34">
    <cfRule type="expression" dxfId="3773" priority="159">
      <formula>AND(OR(X$5="Samedi",X$5="Dimanche",W31="F"),MONTH(X31)=MONTH($AH$7))</formula>
    </cfRule>
    <cfRule type="expression" dxfId="3772" priority="160">
      <formula>MONTH(X31)=MONTH($AH$7)</formula>
    </cfRule>
  </conditionalFormatting>
  <conditionalFormatting sqref="X35:Z35">
    <cfRule type="expression" dxfId="3771" priority="169">
      <formula>AND(OR(X$5="Samedi",X$5="Dimanche",W31="F"),MONTH(X31)=MONTH($AH$7))</formula>
    </cfRule>
  </conditionalFormatting>
  <conditionalFormatting sqref="Y33:Z33">
    <cfRule type="expression" dxfId="3770" priority="157">
      <formula>AND(OR(X$5="Samedi",X$5="Dimanche",W31="F"),MONTH(X31)=MONTH($AH$7))</formula>
    </cfRule>
    <cfRule type="expression" dxfId="3769" priority="158">
      <formula>MONTH(X31)=MONTH($AH$7)</formula>
    </cfRule>
  </conditionalFormatting>
  <conditionalFormatting sqref="X33">
    <cfRule type="expression" dxfId="3768" priority="154">
      <formula>AND(OR(X$5="Samedi",X$5="Dimanche",W31="F"),MONTH(X31)=MONTH($AH$7))</formula>
    </cfRule>
    <cfRule type="expression" dxfId="3767" priority="155">
      <formula>MONTH(X31)=MONTH($AH$7)</formula>
    </cfRule>
  </conditionalFormatting>
  <conditionalFormatting sqref="AC35:AE35">
    <cfRule type="expression" dxfId="3766" priority="153">
      <formula>MONTH(AC31)=MONTH($AH$7)</formula>
    </cfRule>
  </conditionalFormatting>
  <conditionalFormatting sqref="AC31">
    <cfRule type="expression" dxfId="3765" priority="147">
      <formula>AND(OR(AC$5="Samedi",AC$5="Dimanche",AB31="F"),MONTH(AC31)=MONTH($AH$7))</formula>
    </cfRule>
    <cfRule type="expression" dxfId="3764" priority="151">
      <formula>MONTH(AC31)=MONTH($AH$7)</formula>
    </cfRule>
  </conditionalFormatting>
  <conditionalFormatting sqref="AD31">
    <cfRule type="expression" dxfId="3763" priority="146">
      <formula>AND(OR(AC$5="Samedi",AC$5="Dimanche",AB31="F"),MONTH(AC31)=MONTH($AH$7))</formula>
    </cfRule>
    <cfRule type="expression" dxfId="3762" priority="150">
      <formula>MONTH(AC31)=MONTH($AH$7)</formula>
    </cfRule>
  </conditionalFormatting>
  <conditionalFormatting sqref="AE31">
    <cfRule type="expression" dxfId="3761" priority="145">
      <formula>AND(OR(AC$5="Samedi",AC$5="Dimanche",AB31="F"),MONTH(AC31)=MONTH($AH$7))</formula>
    </cfRule>
    <cfRule type="expression" dxfId="3760" priority="149">
      <formula>MONTH(AC31)=MONTH($AH$7)</formula>
    </cfRule>
  </conditionalFormatting>
  <conditionalFormatting sqref="AD32:AE32">
    <cfRule type="expression" dxfId="3759" priority="144">
      <formula>AND(OR(AC$5="Samedi",AC$5="Dimanche",AB31="F"),MONTH(AC31)=MONTH($AH$7))</formula>
    </cfRule>
    <cfRule type="expression" dxfId="3758" priority="148">
      <formula>MONTH(AC31)=MONTH($AH$7)</formula>
    </cfRule>
  </conditionalFormatting>
  <conditionalFormatting sqref="AC34:AE34">
    <cfRule type="expression" dxfId="3757" priority="142">
      <formula>AND(OR(AC$5="Samedi",AC$5="Dimanche",AB31="F"),MONTH(AC31)=MONTH($AH$7))</formula>
    </cfRule>
    <cfRule type="expression" dxfId="3756" priority="143">
      <formula>MONTH(AC31)=MONTH($AH$7)</formula>
    </cfRule>
  </conditionalFormatting>
  <conditionalFormatting sqref="AC35:AE35">
    <cfRule type="expression" dxfId="3755" priority="152">
      <formula>AND(OR(AC$5="Samedi",AC$5="Dimanche",AB31="F"),MONTH(AC31)=MONTH($AH$7))</formula>
    </cfRule>
  </conditionalFormatting>
  <conditionalFormatting sqref="AD33:AE33">
    <cfRule type="expression" dxfId="3754" priority="140">
      <formula>AND(OR(AC$5="Samedi",AC$5="Dimanche",AB31="F"),MONTH(AC31)=MONTH($AH$7))</formula>
    </cfRule>
    <cfRule type="expression" dxfId="3753" priority="141">
      <formula>MONTH(AC31)=MONTH($AH$7)</formula>
    </cfRule>
  </conditionalFormatting>
  <conditionalFormatting sqref="AC33">
    <cfRule type="expression" dxfId="3752" priority="137">
      <formula>AND(OR(AC$5="Samedi",AC$5="Dimanche",AB31="F"),MONTH(AC31)=MONTH($AH$7))</formula>
    </cfRule>
    <cfRule type="expression" dxfId="3751" priority="138">
      <formula>MONTH(AC31)=MONTH($AH$7)</formula>
    </cfRule>
  </conditionalFormatting>
  <conditionalFormatting sqref="AH35:AJ35">
    <cfRule type="expression" dxfId="3750" priority="136">
      <formula>MONTH(AH31)=MONTH($AH$7)</formula>
    </cfRule>
  </conditionalFormatting>
  <conditionalFormatting sqref="AH31">
    <cfRule type="expression" dxfId="3749" priority="130">
      <formula>AND(OR(AH$5="Samedi",AH$5="Dimanche",AG31="F"),MONTH(AH31)=MONTH($AH$7))</formula>
    </cfRule>
    <cfRule type="expression" dxfId="3748" priority="134">
      <formula>MONTH(AH31)=MONTH($AH$7)</formula>
    </cfRule>
  </conditionalFormatting>
  <conditionalFormatting sqref="AI31">
    <cfRule type="expression" dxfId="3747" priority="129">
      <formula>AND(OR(AH$5="Samedi",AH$5="Dimanche",AG31="F"),MONTH(AH31)=MONTH($AH$7))</formula>
    </cfRule>
    <cfRule type="expression" dxfId="3746" priority="133">
      <formula>MONTH(AH31)=MONTH($AH$7)</formula>
    </cfRule>
  </conditionalFormatting>
  <conditionalFormatting sqref="AJ31">
    <cfRule type="expression" dxfId="3745" priority="128">
      <formula>AND(OR(AH$5="Samedi",AH$5="Dimanche",AG31="F"),MONTH(AH31)=MONTH($AH$7))</formula>
    </cfRule>
    <cfRule type="expression" dxfId="3744" priority="132">
      <formula>MONTH(AH31)=MONTH($AH$7)</formula>
    </cfRule>
  </conditionalFormatting>
  <conditionalFormatting sqref="AI32:AJ32">
    <cfRule type="expression" dxfId="3743" priority="127">
      <formula>AND(OR(AH$5="Samedi",AH$5="Dimanche",AG31="F"),MONTH(AH31)=MONTH($AH$7))</formula>
    </cfRule>
    <cfRule type="expression" dxfId="3742" priority="131">
      <formula>MONTH(AH31)=MONTH($AH$7)</formula>
    </cfRule>
  </conditionalFormatting>
  <conditionalFormatting sqref="AH34:AJ34">
    <cfRule type="expression" dxfId="3741" priority="125">
      <formula>AND(OR(AH$5="Samedi",AH$5="Dimanche",AG31="F"),MONTH(AH31)=MONTH($AH$7))</formula>
    </cfRule>
    <cfRule type="expression" dxfId="3740" priority="126">
      <formula>MONTH(AH31)=MONTH($AH$7)</formula>
    </cfRule>
  </conditionalFormatting>
  <conditionalFormatting sqref="AH35:AJ35">
    <cfRule type="expression" dxfId="3739" priority="135">
      <formula>AND(OR(AH$5="Samedi",AH$5="Dimanche",AG31="F"),MONTH(AH31)=MONTH($AH$7))</formula>
    </cfRule>
  </conditionalFormatting>
  <conditionalFormatting sqref="AI33:AJ33">
    <cfRule type="expression" dxfId="3738" priority="123">
      <formula>AND(OR(AH$5="Samedi",AH$5="Dimanche",AG31="F"),MONTH(AH31)=MONTH($AH$7))</formula>
    </cfRule>
    <cfRule type="expression" dxfId="3737" priority="124">
      <formula>MONTH(AH31)=MONTH($AH$7)</formula>
    </cfRule>
  </conditionalFormatting>
  <conditionalFormatting sqref="AH33">
    <cfRule type="expression" dxfId="3736" priority="120">
      <formula>AND(OR(AH$5="Samedi",AH$5="Dimanche",AG31="F"),MONTH(AH31)=MONTH($AH$7))</formula>
    </cfRule>
    <cfRule type="expression" dxfId="3735" priority="121">
      <formula>MONTH(AH31)=MONTH($AH$7)</formula>
    </cfRule>
  </conditionalFormatting>
  <conditionalFormatting sqref="AH41:AJ41">
    <cfRule type="expression" dxfId="3734" priority="119">
      <formula>MONTH(AH37)=MONTH($AH$7)</formula>
    </cfRule>
  </conditionalFormatting>
  <conditionalFormatting sqref="AH37">
    <cfRule type="expression" dxfId="3733" priority="113">
      <formula>AND(OR(AH$5="Samedi",AH$5="Dimanche",AG37="F"),MONTH(AH37)=MONTH($AH$7))</formula>
    </cfRule>
    <cfRule type="expression" dxfId="3732" priority="117">
      <formula>MONTH(AH37)=MONTH($AH$7)</formula>
    </cfRule>
  </conditionalFormatting>
  <conditionalFormatting sqref="AI37">
    <cfRule type="expression" dxfId="3731" priority="112">
      <formula>AND(OR(AH$5="Samedi",AH$5="Dimanche",AG37="F"),MONTH(AH37)=MONTH($AH$7))</formula>
    </cfRule>
    <cfRule type="expression" dxfId="3730" priority="116">
      <formula>MONTH(AH37)=MONTH($AH$7)</formula>
    </cfRule>
  </conditionalFormatting>
  <conditionalFormatting sqref="AJ37">
    <cfRule type="expression" dxfId="3729" priority="111">
      <formula>AND(OR(AH$5="Samedi",AH$5="Dimanche",AG37="F"),MONTH(AH37)=MONTH($AH$7))</formula>
    </cfRule>
    <cfRule type="expression" dxfId="3728" priority="115">
      <formula>MONTH(AH37)=MONTH($AH$7)</formula>
    </cfRule>
  </conditionalFormatting>
  <conditionalFormatting sqref="AI38:AJ38">
    <cfRule type="expression" dxfId="3727" priority="110">
      <formula>AND(OR(AH$5="Samedi",AH$5="Dimanche",AG37="F"),MONTH(AH37)=MONTH($AH$7))</formula>
    </cfRule>
    <cfRule type="expression" dxfId="3726" priority="114">
      <formula>MONTH(AH37)=MONTH($AH$7)</formula>
    </cfRule>
  </conditionalFormatting>
  <conditionalFormatting sqref="AH40:AJ40">
    <cfRule type="expression" dxfId="3725" priority="108">
      <formula>AND(OR(AH$5="Samedi",AH$5="Dimanche",AG37="F"),MONTH(AH37)=MONTH($AH$7))</formula>
    </cfRule>
    <cfRule type="expression" dxfId="3724" priority="109">
      <formula>MONTH(AH37)=MONTH($AH$7)</formula>
    </cfRule>
  </conditionalFormatting>
  <conditionalFormatting sqref="AH41:AJ41">
    <cfRule type="expression" dxfId="3723" priority="118">
      <formula>AND(OR(AH$5="Samedi",AH$5="Dimanche",AG37="F"),MONTH(AH37)=MONTH($AH$7))</formula>
    </cfRule>
  </conditionalFormatting>
  <conditionalFormatting sqref="AI39:AJ39">
    <cfRule type="expression" dxfId="3722" priority="106">
      <formula>AND(OR(AH$5="Samedi",AH$5="Dimanche",AG37="F"),MONTH(AH37)=MONTH($AH$7))</formula>
    </cfRule>
    <cfRule type="expression" dxfId="3721" priority="107">
      <formula>MONTH(AH37)=MONTH($AH$7)</formula>
    </cfRule>
  </conditionalFormatting>
  <conditionalFormatting sqref="AH39">
    <cfRule type="expression" dxfId="3720" priority="103">
      <formula>AND(OR(AH$5="Samedi",AH$5="Dimanche",AG37="F"),MONTH(AH37)=MONTH($AH$7))</formula>
    </cfRule>
    <cfRule type="expression" dxfId="3719" priority="104">
      <formula>MONTH(AH37)=MONTH($AH$7)</formula>
    </cfRule>
  </conditionalFormatting>
  <conditionalFormatting sqref="AC41:AE41">
    <cfRule type="expression" dxfId="3718" priority="102">
      <formula>MONTH(AC37)=MONTH($AH$7)</formula>
    </cfRule>
  </conditionalFormatting>
  <conditionalFormatting sqref="AC37">
    <cfRule type="expression" dxfId="3717" priority="96">
      <formula>AND(OR(AC$5="Samedi",AC$5="Dimanche",AB37="F"),MONTH(AC37)=MONTH($AH$7))</formula>
    </cfRule>
    <cfRule type="expression" dxfId="3716" priority="100">
      <formula>MONTH(AC37)=MONTH($AH$7)</formula>
    </cfRule>
  </conditionalFormatting>
  <conditionalFormatting sqref="AD37">
    <cfRule type="expression" dxfId="3715" priority="95">
      <formula>AND(OR(AC$5="Samedi",AC$5="Dimanche",AB37="F"),MONTH(AC37)=MONTH($AH$7))</formula>
    </cfRule>
    <cfRule type="expression" dxfId="3714" priority="99">
      <formula>MONTH(AC37)=MONTH($AH$7)</formula>
    </cfRule>
  </conditionalFormatting>
  <conditionalFormatting sqref="AE37">
    <cfRule type="expression" dxfId="3713" priority="94">
      <formula>AND(OR(AC$5="Samedi",AC$5="Dimanche",AB37="F"),MONTH(AC37)=MONTH($AH$7))</formula>
    </cfRule>
    <cfRule type="expression" dxfId="3712" priority="98">
      <formula>MONTH(AC37)=MONTH($AH$7)</formula>
    </cfRule>
  </conditionalFormatting>
  <conditionalFormatting sqref="AD38:AE38">
    <cfRule type="expression" dxfId="3711" priority="93">
      <formula>AND(OR(AC$5="Samedi",AC$5="Dimanche",AB37="F"),MONTH(AC37)=MONTH($AH$7))</formula>
    </cfRule>
    <cfRule type="expression" dxfId="3710" priority="97">
      <formula>MONTH(AC37)=MONTH($AH$7)</formula>
    </cfRule>
  </conditionalFormatting>
  <conditionalFormatting sqref="AC40:AE40">
    <cfRule type="expression" dxfId="3709" priority="91">
      <formula>AND(OR(AC$5="Samedi",AC$5="Dimanche",AB37="F"),MONTH(AC37)=MONTH($AH$7))</formula>
    </cfRule>
    <cfRule type="expression" dxfId="3708" priority="92">
      <formula>MONTH(AC37)=MONTH($AH$7)</formula>
    </cfRule>
  </conditionalFormatting>
  <conditionalFormatting sqref="AC41:AE41">
    <cfRule type="expression" dxfId="3707" priority="101">
      <formula>AND(OR(AC$5="Samedi",AC$5="Dimanche",AB37="F"),MONTH(AC37)=MONTH($AH$7))</formula>
    </cfRule>
  </conditionalFormatting>
  <conditionalFormatting sqref="AD39:AE39">
    <cfRule type="expression" dxfId="3706" priority="89">
      <formula>AND(OR(AC$5="Samedi",AC$5="Dimanche",AB37="F"),MONTH(AC37)=MONTH($AH$7))</formula>
    </cfRule>
    <cfRule type="expression" dxfId="3705" priority="90">
      <formula>MONTH(AC37)=MONTH($AH$7)</formula>
    </cfRule>
  </conditionalFormatting>
  <conditionalFormatting sqref="AC39">
    <cfRule type="expression" dxfId="3704" priority="86">
      <formula>AND(OR(AC$5="Samedi",AC$5="Dimanche",AB37="F"),MONTH(AC37)=MONTH($AH$7))</formula>
    </cfRule>
    <cfRule type="expression" dxfId="3703" priority="87">
      <formula>MONTH(AC37)=MONTH($AH$7)</formula>
    </cfRule>
  </conditionalFormatting>
  <conditionalFormatting sqref="X41:Z41">
    <cfRule type="expression" dxfId="3702" priority="85">
      <formula>MONTH(X37)=MONTH($AH$7)</formula>
    </cfRule>
  </conditionalFormatting>
  <conditionalFormatting sqref="X37">
    <cfRule type="expression" dxfId="3701" priority="79">
      <formula>AND(OR(X$5="Samedi",X$5="Dimanche",W37="F"),MONTH(X37)=MONTH($AH$7))</formula>
    </cfRule>
    <cfRule type="expression" dxfId="3700" priority="83">
      <formula>MONTH(X37)=MONTH($AH$7)</formula>
    </cfRule>
  </conditionalFormatting>
  <conditionalFormatting sqref="Y37">
    <cfRule type="expression" dxfId="3699" priority="78">
      <formula>AND(OR(X$5="Samedi",X$5="Dimanche",W37="F"),MONTH(X37)=MONTH($AH$7))</formula>
    </cfRule>
    <cfRule type="expression" dxfId="3698" priority="82">
      <formula>MONTH(X37)=MONTH($AH$7)</formula>
    </cfRule>
  </conditionalFormatting>
  <conditionalFormatting sqref="Z37">
    <cfRule type="expression" dxfId="3697" priority="77">
      <formula>AND(OR(X$5="Samedi",X$5="Dimanche",W37="F"),MONTH(X37)=MONTH($AH$7))</formula>
    </cfRule>
    <cfRule type="expression" dxfId="3696" priority="81">
      <formula>MONTH(X37)=MONTH($AH$7)</formula>
    </cfRule>
  </conditionalFormatting>
  <conditionalFormatting sqref="Y38:Z38">
    <cfRule type="expression" dxfId="3695" priority="76">
      <formula>AND(OR(X$5="Samedi",X$5="Dimanche",W37="F"),MONTH(X37)=MONTH($AH$7))</formula>
    </cfRule>
    <cfRule type="expression" dxfId="3694" priority="80">
      <formula>MONTH(X37)=MONTH($AH$7)</formula>
    </cfRule>
  </conditionalFormatting>
  <conditionalFormatting sqref="X40:Z40">
    <cfRule type="expression" dxfId="3693" priority="74">
      <formula>AND(OR(X$5="Samedi",X$5="Dimanche",W37="F"),MONTH(X37)=MONTH($AH$7))</formula>
    </cfRule>
    <cfRule type="expression" dxfId="3692" priority="75">
      <formula>MONTH(X37)=MONTH($AH$7)</formula>
    </cfRule>
  </conditionalFormatting>
  <conditionalFormatting sqref="X41:Z41">
    <cfRule type="expression" dxfId="3691" priority="84">
      <formula>AND(OR(X$5="Samedi",X$5="Dimanche",W37="F"),MONTH(X37)=MONTH($AH$7))</formula>
    </cfRule>
  </conditionalFormatting>
  <conditionalFormatting sqref="Y39:Z39">
    <cfRule type="expression" dxfId="3690" priority="72">
      <formula>AND(OR(X$5="Samedi",X$5="Dimanche",W37="F"),MONTH(X37)=MONTH($AH$7))</formula>
    </cfRule>
    <cfRule type="expression" dxfId="3689" priority="73">
      <formula>MONTH(X37)=MONTH($AH$7)</formula>
    </cfRule>
  </conditionalFormatting>
  <conditionalFormatting sqref="X39">
    <cfRule type="expression" dxfId="3688" priority="69">
      <formula>AND(OR(X$5="Samedi",X$5="Dimanche",W37="F"),MONTH(X37)=MONTH($AH$7))</formula>
    </cfRule>
    <cfRule type="expression" dxfId="3687" priority="70">
      <formula>MONTH(X37)=MONTH($AH$7)</formula>
    </cfRule>
  </conditionalFormatting>
  <conditionalFormatting sqref="S41:U41">
    <cfRule type="expression" dxfId="3686" priority="68">
      <formula>MONTH(S37)=MONTH($AH$7)</formula>
    </cfRule>
  </conditionalFormatting>
  <conditionalFormatting sqref="S37">
    <cfRule type="expression" dxfId="3685" priority="62">
      <formula>AND(OR(S$5="Samedi",S$5="Dimanche",R37="F"),MONTH(S37)=MONTH($AH$7))</formula>
    </cfRule>
    <cfRule type="expression" dxfId="3684" priority="66">
      <formula>MONTH(S37)=MONTH($AH$7)</formula>
    </cfRule>
  </conditionalFormatting>
  <conditionalFormatting sqref="T37">
    <cfRule type="expression" dxfId="3683" priority="61">
      <formula>AND(OR(S$5="Samedi",S$5="Dimanche",R37="F"),MONTH(S37)=MONTH($AH$7))</formula>
    </cfRule>
    <cfRule type="expression" dxfId="3682" priority="65">
      <formula>MONTH(S37)=MONTH($AH$7)</formula>
    </cfRule>
  </conditionalFormatting>
  <conditionalFormatting sqref="U37">
    <cfRule type="expression" dxfId="3681" priority="60">
      <formula>AND(OR(S$5="Samedi",S$5="Dimanche",R37="F"),MONTH(S37)=MONTH($AH$7))</formula>
    </cfRule>
    <cfRule type="expression" dxfId="3680" priority="64">
      <formula>MONTH(S37)=MONTH($AH$7)</formula>
    </cfRule>
  </conditionalFormatting>
  <conditionalFormatting sqref="T38:U38">
    <cfRule type="expression" dxfId="3679" priority="59">
      <formula>AND(OR(S$5="Samedi",S$5="Dimanche",R37="F"),MONTH(S37)=MONTH($AH$7))</formula>
    </cfRule>
    <cfRule type="expression" dxfId="3678" priority="63">
      <formula>MONTH(S37)=MONTH($AH$7)</formula>
    </cfRule>
  </conditionalFormatting>
  <conditionalFormatting sqref="S40:U40">
    <cfRule type="expression" dxfId="3677" priority="57">
      <formula>AND(OR(S$5="Samedi",S$5="Dimanche",R37="F"),MONTH(S37)=MONTH($AH$7))</formula>
    </cfRule>
    <cfRule type="expression" dxfId="3676" priority="58">
      <formula>MONTH(S37)=MONTH($AH$7)</formula>
    </cfRule>
  </conditionalFormatting>
  <conditionalFormatting sqref="S41:U41">
    <cfRule type="expression" dxfId="3675" priority="67">
      <formula>AND(OR(S$5="Samedi",S$5="Dimanche",R37="F"),MONTH(S37)=MONTH($AH$7))</formula>
    </cfRule>
  </conditionalFormatting>
  <conditionalFormatting sqref="T39:U39">
    <cfRule type="expression" dxfId="3674" priority="55">
      <formula>AND(OR(S$5="Samedi",S$5="Dimanche",R37="F"),MONTH(S37)=MONTH($AH$7))</formula>
    </cfRule>
    <cfRule type="expression" dxfId="3673" priority="56">
      <formula>MONTH(S37)=MONTH($AH$7)</formula>
    </cfRule>
  </conditionalFormatting>
  <conditionalFormatting sqref="S39">
    <cfRule type="expression" dxfId="3672" priority="52">
      <formula>AND(OR(S$5="Samedi",S$5="Dimanche",R37="F"),MONTH(S37)=MONTH($AH$7))</formula>
    </cfRule>
    <cfRule type="expression" dxfId="3671" priority="53">
      <formula>MONTH(S37)=MONTH($AH$7)</formula>
    </cfRule>
  </conditionalFormatting>
  <conditionalFormatting sqref="N41:P41">
    <cfRule type="expression" dxfId="3670" priority="51">
      <formula>MONTH(N37)=MONTH($AH$7)</formula>
    </cfRule>
  </conditionalFormatting>
  <conditionalFormatting sqref="N37">
    <cfRule type="expression" dxfId="3669" priority="45">
      <formula>AND(OR(N$5="Samedi",N$5="Dimanche",M37="F"),MONTH(N37)=MONTH($AH$7))</formula>
    </cfRule>
    <cfRule type="expression" dxfId="3668" priority="49">
      <formula>MONTH(N37)=MONTH($AH$7)</formula>
    </cfRule>
  </conditionalFormatting>
  <conditionalFormatting sqref="O37">
    <cfRule type="expression" dxfId="3667" priority="44">
      <formula>AND(OR(N$5="Samedi",N$5="Dimanche",M37="F"),MONTH(N37)=MONTH($AH$7))</formula>
    </cfRule>
    <cfRule type="expression" dxfId="3666" priority="48">
      <formula>MONTH(N37)=MONTH($AH$7)</formula>
    </cfRule>
  </conditionalFormatting>
  <conditionalFormatting sqref="P37">
    <cfRule type="expression" dxfId="3665" priority="43">
      <formula>AND(OR(N$5="Samedi",N$5="Dimanche",M37="F"),MONTH(N37)=MONTH($AH$7))</formula>
    </cfRule>
    <cfRule type="expression" dxfId="3664" priority="47">
      <formula>MONTH(N37)=MONTH($AH$7)</formula>
    </cfRule>
  </conditionalFormatting>
  <conditionalFormatting sqref="O38:P38">
    <cfRule type="expression" dxfId="3663" priority="42">
      <formula>AND(OR(N$5="Samedi",N$5="Dimanche",M37="F"),MONTH(N37)=MONTH($AH$7))</formula>
    </cfRule>
    <cfRule type="expression" dxfId="3662" priority="46">
      <formula>MONTH(N37)=MONTH($AH$7)</formula>
    </cfRule>
  </conditionalFormatting>
  <conditionalFormatting sqref="N40:P40">
    <cfRule type="expression" dxfId="3661" priority="40">
      <formula>AND(OR(N$5="Samedi",N$5="Dimanche",M37="F"),MONTH(N37)=MONTH($AH$7))</formula>
    </cfRule>
    <cfRule type="expression" dxfId="3660" priority="41">
      <formula>MONTH(N37)=MONTH($AH$7)</formula>
    </cfRule>
  </conditionalFormatting>
  <conditionalFormatting sqref="N41:P41">
    <cfRule type="expression" dxfId="3659" priority="50">
      <formula>AND(OR(N$5="Samedi",N$5="Dimanche",M37="F"),MONTH(N37)=MONTH($AH$7))</formula>
    </cfRule>
  </conditionalFormatting>
  <conditionalFormatting sqref="O39:P39">
    <cfRule type="expression" dxfId="3658" priority="38">
      <formula>AND(OR(N$5="Samedi",N$5="Dimanche",M37="F"),MONTH(N37)=MONTH($AH$7))</formula>
    </cfRule>
    <cfRule type="expression" dxfId="3657" priority="39">
      <formula>MONTH(N37)=MONTH($AH$7)</formula>
    </cfRule>
  </conditionalFormatting>
  <conditionalFormatting sqref="N39">
    <cfRule type="expression" dxfId="3656" priority="35">
      <formula>AND(OR(N$5="Samedi",N$5="Dimanche",M37="F"),MONTH(N37)=MONTH($AH$7))</formula>
    </cfRule>
    <cfRule type="expression" dxfId="3655" priority="36">
      <formula>MONTH(N37)=MONTH($AH$7)</formula>
    </cfRule>
  </conditionalFormatting>
  <conditionalFormatting sqref="I41:K41">
    <cfRule type="expression" dxfId="3654" priority="34">
      <formula>MONTH(I37)=MONTH($AH$7)</formula>
    </cfRule>
  </conditionalFormatting>
  <conditionalFormatting sqref="I37">
    <cfRule type="expression" dxfId="3653" priority="28">
      <formula>AND(OR(I$5="Samedi",I$5="Dimanche",H37="F"),MONTH(I37)=MONTH($AH$7))</formula>
    </cfRule>
    <cfRule type="expression" dxfId="3652" priority="32">
      <formula>MONTH(I37)=MONTH($AH$7)</formula>
    </cfRule>
  </conditionalFormatting>
  <conditionalFormatting sqref="J37">
    <cfRule type="expression" dxfId="3651" priority="27">
      <formula>AND(OR(I$5="Samedi",I$5="Dimanche",H37="F"),MONTH(I37)=MONTH($AH$7))</formula>
    </cfRule>
    <cfRule type="expression" dxfId="3650" priority="31">
      <formula>MONTH(I37)=MONTH($AH$7)</formula>
    </cfRule>
  </conditionalFormatting>
  <conditionalFormatting sqref="K37">
    <cfRule type="expression" dxfId="3649" priority="26">
      <formula>AND(OR(I$5="Samedi",I$5="Dimanche",H37="F"),MONTH(I37)=MONTH($AH$7))</formula>
    </cfRule>
    <cfRule type="expression" dxfId="3648" priority="30">
      <formula>MONTH(I37)=MONTH($AH$7)</formula>
    </cfRule>
  </conditionalFormatting>
  <conditionalFormatting sqref="J38:K38">
    <cfRule type="expression" dxfId="3647" priority="25">
      <formula>AND(OR(I$5="Samedi",I$5="Dimanche",H37="F"),MONTH(I37)=MONTH($AH$7))</formula>
    </cfRule>
    <cfRule type="expression" dxfId="3646" priority="29">
      <formula>MONTH(I37)=MONTH($AH$7)</formula>
    </cfRule>
  </conditionalFormatting>
  <conditionalFormatting sqref="I40:K40">
    <cfRule type="expression" dxfId="3645" priority="23">
      <formula>AND(OR(I$5="Samedi",I$5="Dimanche",H37="F"),MONTH(I37)=MONTH($AH$7))</formula>
    </cfRule>
    <cfRule type="expression" dxfId="3644" priority="24">
      <formula>MONTH(I37)=MONTH($AH$7)</formula>
    </cfRule>
  </conditionalFormatting>
  <conditionalFormatting sqref="I41:K41">
    <cfRule type="expression" dxfId="3643" priority="33">
      <formula>AND(OR(I$5="Samedi",I$5="Dimanche",H37="F"),MONTH(I37)=MONTH($AH$7))</formula>
    </cfRule>
  </conditionalFormatting>
  <conditionalFormatting sqref="J39:K39">
    <cfRule type="expression" dxfId="3642" priority="21">
      <formula>AND(OR(I$5="Samedi",I$5="Dimanche",H37="F"),MONTH(I37)=MONTH($AH$7))</formula>
    </cfRule>
    <cfRule type="expression" dxfId="3641" priority="22">
      <formula>MONTH(I37)=MONTH($AH$7)</formula>
    </cfRule>
  </conditionalFormatting>
  <conditionalFormatting sqref="I39">
    <cfRule type="expression" dxfId="3640" priority="18">
      <formula>AND(OR(I$5="Samedi",I$5="Dimanche",H37="F"),MONTH(I37)=MONTH($AH$7))</formula>
    </cfRule>
    <cfRule type="expression" dxfId="3639" priority="19">
      <formula>MONTH(I37)=MONTH($AH$7)</formula>
    </cfRule>
  </conditionalFormatting>
  <conditionalFormatting sqref="D41:F41">
    <cfRule type="expression" dxfId="3638" priority="17">
      <formula>MONTH(D37)=MONTH($AH$7)</formula>
    </cfRule>
  </conditionalFormatting>
  <conditionalFormatting sqref="D37">
    <cfRule type="expression" dxfId="3637" priority="11">
      <formula>AND(OR(D$5="Samedi",D$5="Dimanche",C37="F"),MONTH(D37)=MONTH($AH$7))</formula>
    </cfRule>
    <cfRule type="expression" dxfId="3636" priority="15">
      <formula>MONTH(D37)=MONTH($AH$7)</formula>
    </cfRule>
  </conditionalFormatting>
  <conditionalFormatting sqref="E37">
    <cfRule type="expression" dxfId="3635" priority="10">
      <formula>AND(OR(D$5="Samedi",D$5="Dimanche",C37="F"),MONTH(D37)=MONTH($AH$7))</formula>
    </cfRule>
    <cfRule type="expression" dxfId="3634" priority="14">
      <formula>MONTH(D37)=MONTH($AH$7)</formula>
    </cfRule>
  </conditionalFormatting>
  <conditionalFormatting sqref="F37">
    <cfRule type="expression" dxfId="3633" priority="9">
      <formula>AND(OR(D$5="Samedi",D$5="Dimanche",C37="F"),MONTH(D37)=MONTH($AH$7))</formula>
    </cfRule>
    <cfRule type="expression" dxfId="3632" priority="13">
      <formula>MONTH(D37)=MONTH($AH$7)</formula>
    </cfRule>
  </conditionalFormatting>
  <conditionalFormatting sqref="E38:F38">
    <cfRule type="expression" dxfId="3631" priority="8">
      <formula>AND(OR(D$5="Samedi",D$5="Dimanche",C37="F"),MONTH(D37)=MONTH($AH$7))</formula>
    </cfRule>
    <cfRule type="expression" dxfId="3630" priority="12">
      <formula>MONTH(D37)=MONTH($AH$7)</formula>
    </cfRule>
  </conditionalFormatting>
  <conditionalFormatting sqref="D40:F40">
    <cfRule type="expression" dxfId="3629" priority="6">
      <formula>AND(OR(D$5="Samedi",D$5="Dimanche",C37="F"),MONTH(D37)=MONTH($AH$7))</formula>
    </cfRule>
    <cfRule type="expression" dxfId="3628" priority="7">
      <formula>MONTH(D37)=MONTH($AH$7)</formula>
    </cfRule>
  </conditionalFormatting>
  <conditionalFormatting sqref="D41:F41">
    <cfRule type="expression" dxfId="3627" priority="16">
      <formula>AND(OR(D$5="Samedi",D$5="Dimanche",C37="F"),MONTH(D37)=MONTH($AH$7))</formula>
    </cfRule>
  </conditionalFormatting>
  <conditionalFormatting sqref="E39:F39">
    <cfRule type="expression" dxfId="3626" priority="4">
      <formula>AND(OR(D$5="Samedi",D$5="Dimanche",C37="F"),MONTH(D37)=MONTH($AH$7))</formula>
    </cfRule>
    <cfRule type="expression" dxfId="3625" priority="5">
      <formula>MONTH(D37)=MONTH($AH$7)</formula>
    </cfRule>
  </conditionalFormatting>
  <conditionalFormatting sqref="D39">
    <cfRule type="expression" dxfId="3624" priority="1">
      <formula>AND(OR(D$5="Samedi",D$5="Dimanche",C37="F"),MONTH(D37)=MONTH($AH$7))</formula>
    </cfRule>
    <cfRule type="expression" dxfId="3623" priority="2">
      <formula>MONTH(D37)=MONTH($AH$7)</formula>
    </cfRule>
  </conditionalFormatting>
  <dataValidations count="1">
    <dataValidation type="list" operator="equal" sqref="G1:J1 B1:E1" xr:uid="{00000000-0002-0000-0300-000000000000}">
      <formula1>"1,2,3,4,5,6,7,8,9,10,11,12"</formula1>
      <formula2>0</formula2>
    </dataValidation>
  </dataValidations>
  <printOptions horizontalCentered="1" verticalCentered="1"/>
  <pageMargins left="0.39370078740157483" right="0.39370078740157483" top="0.39370078740157483" bottom="0.39370078740157483" header="0" footer="0"/>
  <pageSetup paperSize="9" scale="7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Spinner 1">
              <controlPr defaultSize="0" autoPict="0">
                <anchor moveWithCells="1" sizeWithCells="1">
                  <from>
                    <xdr:col>9</xdr:col>
                    <xdr:colOff>63500</xdr:colOff>
                    <xdr:row>2</xdr:row>
                    <xdr:rowOff>88900</xdr:rowOff>
                  </from>
                  <to>
                    <xdr:col>9</xdr:col>
                    <xdr:colOff>342900</xdr:colOff>
                    <xdr:row>2</xdr:row>
                    <xdr:rowOff>368300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autoPageBreaks="0" fitToPage="1"/>
  </sheetPr>
  <dimension ref="A1:CG73"/>
  <sheetViews>
    <sheetView showGridLines="0" tabSelected="1" zoomScale="97" zoomScaleNormal="97" zoomScalePageLayoutView="97" workbookViewId="0">
      <selection activeCell="BA50" sqref="BA50"/>
    </sheetView>
  </sheetViews>
  <sheetFormatPr baseColWidth="10" defaultColWidth="10.83203125" defaultRowHeight="18" x14ac:dyDescent="0.2"/>
  <cols>
    <col min="1" max="1" width="2" style="2" customWidth="1"/>
    <col min="2" max="3" width="3.83203125" style="25" customWidth="1"/>
    <col min="4" max="4" width="3.6640625" style="336" customWidth="1"/>
    <col min="5" max="6" width="1.5" style="27" customWidth="1"/>
    <col min="7" max="7" width="1.5" style="29" customWidth="1"/>
    <col min="8" max="8" width="1.5" style="2" customWidth="1"/>
    <col min="9" max="10" width="3.83203125" style="25" customWidth="1"/>
    <col min="11" max="11" width="3.6640625" style="336" customWidth="1"/>
    <col min="12" max="13" width="1.5" style="27" customWidth="1"/>
    <col min="14" max="14" width="1.5" style="29" customWidth="1"/>
    <col min="15" max="15" width="1.5" style="2" customWidth="1"/>
    <col min="16" max="17" width="3.83203125" style="25" customWidth="1"/>
    <col min="18" max="18" width="3.6640625" style="336" customWidth="1"/>
    <col min="19" max="20" width="1.5" style="27" customWidth="1"/>
    <col min="21" max="21" width="1.5" style="29" customWidth="1"/>
    <col min="22" max="22" width="1.5" style="2" customWidth="1"/>
    <col min="23" max="24" width="3.83203125" style="25" customWidth="1"/>
    <col min="25" max="25" width="3.6640625" style="336" customWidth="1"/>
    <col min="26" max="27" width="1.5" style="27" customWidth="1"/>
    <col min="28" max="28" width="1.5" style="29" customWidth="1"/>
    <col min="29" max="29" width="1.5" style="2" customWidth="1"/>
    <col min="30" max="31" width="3.83203125" style="25" customWidth="1"/>
    <col min="32" max="32" width="3.6640625" style="336" customWidth="1"/>
    <col min="33" max="34" width="1.5" style="27" customWidth="1"/>
    <col min="35" max="35" width="1.5" style="29" customWidth="1"/>
    <col min="36" max="36" width="1.5" style="2" customWidth="1"/>
    <col min="37" max="38" width="3.83203125" style="25" customWidth="1"/>
    <col min="39" max="39" width="3.6640625" style="336" customWidth="1"/>
    <col min="40" max="41" width="1.5" style="27" customWidth="1"/>
    <col min="42" max="42" width="1.5" style="29" customWidth="1"/>
    <col min="43" max="43" width="1.5" style="2" customWidth="1"/>
    <col min="44" max="45" width="3.83203125" style="25" customWidth="1"/>
    <col min="46" max="46" width="3.6640625" style="336" customWidth="1"/>
    <col min="47" max="48" width="1.5" style="27" customWidth="1"/>
    <col min="49" max="49" width="1.5" style="29" customWidth="1"/>
    <col min="50" max="50" width="1.5" style="2" customWidth="1"/>
    <col min="51" max="52" width="3.83203125" style="25" customWidth="1"/>
    <col min="53" max="53" width="3.6640625" style="336" customWidth="1"/>
    <col min="54" max="55" width="1.5" style="27" customWidth="1"/>
    <col min="56" max="56" width="1.5" style="29" customWidth="1"/>
    <col min="57" max="57" width="1.5" style="2" customWidth="1"/>
    <col min="58" max="59" width="3.83203125" style="25" customWidth="1"/>
    <col min="60" max="60" width="3.6640625" style="336" customWidth="1"/>
    <col min="61" max="62" width="1.5" style="27" customWidth="1"/>
    <col min="63" max="63" width="1.5" style="29" customWidth="1"/>
    <col min="64" max="64" width="1.5" style="2" customWidth="1"/>
    <col min="65" max="66" width="3.83203125" style="25" customWidth="1"/>
    <col min="67" max="67" width="3.6640625" style="336" customWidth="1"/>
    <col min="68" max="69" width="1.5" style="27" customWidth="1"/>
    <col min="70" max="70" width="1.5" style="29" customWidth="1"/>
    <col min="71" max="71" width="1.5" style="2" customWidth="1"/>
    <col min="72" max="73" width="3.83203125" style="25" customWidth="1"/>
    <col min="74" max="74" width="3.6640625" style="336" customWidth="1"/>
    <col min="75" max="76" width="1.5" style="27" customWidth="1"/>
    <col min="77" max="77" width="1.5" style="29" customWidth="1"/>
    <col min="78" max="78" width="1.5" style="2" customWidth="1"/>
    <col min="79" max="80" width="3.83203125" style="25" customWidth="1"/>
    <col min="81" max="81" width="3.6640625" style="336" customWidth="1"/>
    <col min="82" max="83" width="1.5" style="27" customWidth="1"/>
    <col min="84" max="84" width="1.5" style="29" customWidth="1"/>
    <col min="85" max="85" width="2" style="2" customWidth="1"/>
    <col min="86" max="16384" width="10.83203125" style="2"/>
  </cols>
  <sheetData>
    <row r="1" spans="1:85" x14ac:dyDescent="0.2">
      <c r="A1" s="348"/>
      <c r="B1" s="349"/>
      <c r="C1" s="349"/>
      <c r="D1" s="350"/>
      <c r="E1" s="351"/>
      <c r="F1" s="351"/>
      <c r="G1" s="352"/>
      <c r="H1" s="353"/>
      <c r="I1" s="349"/>
      <c r="J1" s="349"/>
      <c r="K1" s="350"/>
      <c r="L1" s="351"/>
      <c r="M1" s="351"/>
      <c r="N1" s="352"/>
      <c r="O1" s="353"/>
      <c r="P1" s="349"/>
      <c r="Q1" s="349"/>
      <c r="R1" s="350"/>
      <c r="S1" s="351"/>
      <c r="T1" s="351"/>
      <c r="U1" s="352"/>
      <c r="V1" s="353"/>
      <c r="W1" s="349"/>
      <c r="X1" s="349"/>
      <c r="Y1" s="350"/>
      <c r="Z1" s="351"/>
      <c r="AA1" s="351"/>
      <c r="AB1" s="352"/>
      <c r="AC1" s="353"/>
      <c r="AD1" s="349"/>
      <c r="AE1" s="349"/>
      <c r="AF1" s="350"/>
      <c r="AG1" s="351"/>
      <c r="AH1" s="351"/>
      <c r="AI1" s="352"/>
      <c r="AJ1" s="353"/>
      <c r="AK1" s="349"/>
      <c r="AL1" s="349"/>
      <c r="AM1" s="350"/>
      <c r="AN1" s="351"/>
      <c r="AO1" s="351"/>
      <c r="AP1" s="352"/>
      <c r="AQ1" s="353"/>
      <c r="AR1" s="349"/>
      <c r="AS1" s="349"/>
      <c r="AT1" s="350"/>
      <c r="AU1" s="351"/>
      <c r="AV1" s="351"/>
      <c r="AW1" s="352"/>
      <c r="AX1" s="353"/>
      <c r="AY1" s="349"/>
      <c r="AZ1" s="349"/>
      <c r="BA1" s="350"/>
      <c r="BB1" s="351"/>
      <c r="BC1" s="351"/>
      <c r="BD1" s="352"/>
      <c r="BE1" s="353"/>
      <c r="BF1" s="349"/>
      <c r="BG1" s="349"/>
      <c r="BH1" s="350"/>
      <c r="BI1" s="351"/>
      <c r="BJ1" s="351"/>
      <c r="BK1" s="352"/>
      <c r="BL1" s="353"/>
      <c r="BM1" s="349"/>
      <c r="BN1" s="349"/>
      <c r="BO1" s="350"/>
      <c r="BP1" s="351"/>
      <c r="BQ1" s="351"/>
      <c r="BR1" s="352"/>
      <c r="BS1" s="353"/>
      <c r="BT1" s="349"/>
      <c r="BU1" s="349"/>
      <c r="BV1" s="350"/>
      <c r="BW1" s="351"/>
      <c r="BX1" s="351"/>
      <c r="BY1" s="352"/>
      <c r="BZ1" s="353"/>
      <c r="CA1" s="349"/>
      <c r="CB1" s="349"/>
      <c r="CC1" s="350"/>
      <c r="CD1" s="351"/>
      <c r="CE1" s="351"/>
      <c r="CF1" s="352"/>
      <c r="CG1" s="354"/>
    </row>
    <row r="2" spans="1:85" ht="40" customHeight="1" thickBot="1" x14ac:dyDescent="0.2">
      <c r="A2" s="355"/>
      <c r="B2" s="371"/>
      <c r="C2" s="372"/>
      <c r="D2" s="372"/>
      <c r="E2" s="372"/>
      <c r="F2" s="372"/>
      <c r="G2" s="372"/>
      <c r="H2" s="372"/>
      <c r="I2" s="372"/>
      <c r="J2" s="372"/>
      <c r="K2" s="372"/>
      <c r="L2" s="372"/>
      <c r="M2" s="372"/>
      <c r="N2" s="372"/>
      <c r="O2" s="372"/>
      <c r="P2" s="549" t="s">
        <v>520</v>
      </c>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380"/>
      <c r="AX2" s="372"/>
      <c r="AY2" s="522" t="str">
        <f>CONCATENATE( Introduction!D3," ",Plage_Cal)</f>
        <v>Mon calendrier 2021</v>
      </c>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373"/>
      <c r="CG2" s="356"/>
    </row>
    <row r="3" spans="1:85" s="342" customFormat="1" ht="15" customHeight="1" x14ac:dyDescent="0.15">
      <c r="A3" s="357"/>
      <c r="B3" s="341"/>
      <c r="C3" s="370" t="str">
        <f ca="1">CONCATENATE("© Jean-Jacques Rey"," — ",MID(CELL("filename",A1),FIND("[",CELL("filename",A1))+1,SUM(FIND({"[";"]"},CELL("filename",A1))*{-1;1})-6))</f>
        <v>© Jean-Jacques Rey — My e-Calendar v2.6 public</v>
      </c>
      <c r="D3" s="36"/>
      <c r="E3" s="341"/>
      <c r="F3" s="341"/>
      <c r="G3" s="36"/>
      <c r="H3" s="341"/>
      <c r="I3" s="341"/>
      <c r="J3" s="341"/>
      <c r="K3" s="36"/>
      <c r="L3" s="341"/>
      <c r="M3" s="341"/>
      <c r="N3" s="36"/>
      <c r="O3" s="341"/>
      <c r="P3" s="341"/>
      <c r="Q3" s="341"/>
      <c r="R3" s="36"/>
      <c r="S3" s="341"/>
      <c r="T3" s="341"/>
      <c r="U3" s="36"/>
      <c r="V3" s="341"/>
      <c r="W3" s="341"/>
      <c r="X3" s="341"/>
      <c r="Y3" s="36"/>
      <c r="Z3" s="341"/>
      <c r="AA3" s="341"/>
      <c r="AB3" s="36"/>
      <c r="AC3" s="341"/>
      <c r="AD3" s="341"/>
      <c r="AE3" s="149" t="str">
        <f>IF(Introduction!$D$4="","",Introduction!$D$4)</f>
        <v/>
      </c>
      <c r="AF3" s="36"/>
      <c r="AG3" s="341"/>
      <c r="AH3" s="341"/>
      <c r="AI3" s="36"/>
      <c r="AJ3" s="341"/>
      <c r="AK3" s="341"/>
      <c r="AL3" s="341"/>
      <c r="AM3" s="36"/>
      <c r="AN3" s="341"/>
      <c r="AO3" s="341"/>
      <c r="AP3" s="36"/>
      <c r="AQ3" s="341"/>
      <c r="AR3" s="341"/>
      <c r="AS3" s="370"/>
      <c r="AT3" s="36"/>
      <c r="AU3" s="341"/>
      <c r="AV3" s="341"/>
      <c r="AW3" s="36"/>
      <c r="AX3" s="341"/>
      <c r="AY3" s="341"/>
      <c r="AZ3" s="341"/>
      <c r="BA3" s="36"/>
      <c r="BB3" s="341"/>
      <c r="BC3" s="341"/>
      <c r="BD3" s="36"/>
      <c r="BE3" s="341"/>
      <c r="BF3" s="341"/>
      <c r="BG3" s="341"/>
      <c r="BH3" s="36"/>
      <c r="BI3" s="341"/>
      <c r="BJ3" s="341"/>
      <c r="BK3" s="36"/>
      <c r="BL3" s="341"/>
      <c r="BM3" s="341"/>
      <c r="BN3" s="341"/>
      <c r="BO3" s="36"/>
      <c r="BP3" s="341"/>
      <c r="BQ3" s="341"/>
      <c r="BR3" s="36"/>
      <c r="BS3" s="341"/>
      <c r="BT3" s="341"/>
      <c r="BU3" s="149"/>
      <c r="BV3" s="36"/>
      <c r="BW3" s="341"/>
      <c r="BX3" s="341"/>
      <c r="BY3" s="36"/>
      <c r="BZ3" s="341"/>
      <c r="CA3" s="341"/>
      <c r="CB3" s="341"/>
      <c r="CC3" s="36"/>
      <c r="CD3" s="341"/>
      <c r="CE3" s="341"/>
      <c r="CF3" s="36"/>
      <c r="CG3" s="358"/>
    </row>
    <row r="4" spans="1:85" ht="24" customHeight="1" thickBot="1" x14ac:dyDescent="0.25">
      <c r="A4" s="355"/>
      <c r="B4" s="550" t="str">
        <f>IF(Calculs!$C$90&lt;&gt;Calculs!$C$91,UPPER(TEXT(C6,"mmm aaaa")),UPPER(TEXT(C6,"mmmm")))</f>
        <v>JANVIER</v>
      </c>
      <c r="C4" s="551"/>
      <c r="D4" s="551"/>
      <c r="E4" s="551"/>
      <c r="F4" s="551"/>
      <c r="G4" s="552"/>
      <c r="H4" s="377"/>
      <c r="I4" s="550" t="str">
        <f>IF(Calculs!$C$90&lt;&gt;Calculs!$C$91,UPPER(TEXT(J6,"mmm aaaa")),UPPER(TEXT(J6,"mmmm")))</f>
        <v>FÉVRIER</v>
      </c>
      <c r="J4" s="551"/>
      <c r="K4" s="551"/>
      <c r="L4" s="551"/>
      <c r="M4" s="551"/>
      <c r="N4" s="552"/>
      <c r="O4" s="378"/>
      <c r="P4" s="550" t="str">
        <f>IF(Calculs!$C$90&lt;&gt;Calculs!$C$91,UPPER(TEXT(Q6,"mmm aaaa")),UPPER(TEXT(Q6,"mmmm")))</f>
        <v>MARS</v>
      </c>
      <c r="Q4" s="551"/>
      <c r="R4" s="551"/>
      <c r="S4" s="551"/>
      <c r="T4" s="551"/>
      <c r="U4" s="552"/>
      <c r="V4" s="378"/>
      <c r="W4" s="550" t="str">
        <f>IF(Calculs!$C$90&lt;&gt;Calculs!$C$91,UPPER(TEXT(X6,"mmm aaaa")),UPPER(TEXT(X6,"mmmm")))</f>
        <v>AVRIL</v>
      </c>
      <c r="X4" s="551"/>
      <c r="Y4" s="551"/>
      <c r="Z4" s="551"/>
      <c r="AA4" s="551"/>
      <c r="AB4" s="552"/>
      <c r="AC4" s="378"/>
      <c r="AD4" s="550" t="str">
        <f>IF(Calculs!$C$90&lt;&gt;Calculs!$C$91,UPPER(TEXT(AE6,"mmm aaaa")),UPPER(TEXT(AE6,"mmmm")))</f>
        <v>MAI</v>
      </c>
      <c r="AE4" s="551"/>
      <c r="AF4" s="551"/>
      <c r="AG4" s="551"/>
      <c r="AH4" s="551"/>
      <c r="AI4" s="552"/>
      <c r="AJ4" s="378"/>
      <c r="AK4" s="550" t="str">
        <f>IF(Calculs!$C$90&lt;&gt;Calculs!$C$91,UPPER(TEXT(AL6,"mmm aaaa")),UPPER(TEXT(AL6,"mmmm")))</f>
        <v>JUIN</v>
      </c>
      <c r="AL4" s="551"/>
      <c r="AM4" s="551"/>
      <c r="AN4" s="551"/>
      <c r="AO4" s="551"/>
      <c r="AP4" s="552"/>
      <c r="AQ4" s="379"/>
      <c r="AR4" s="550" t="str">
        <f>IF(Calculs!$C$90&lt;&gt;Calculs!$C$91,UPPER(TEXT(AS6,"mmm aaaa")),UPPER(TEXT(AS6,"mmmm")))</f>
        <v>JUILLET</v>
      </c>
      <c r="AS4" s="551"/>
      <c r="AT4" s="551"/>
      <c r="AU4" s="551"/>
      <c r="AV4" s="551"/>
      <c r="AW4" s="552"/>
      <c r="AX4" s="377"/>
      <c r="AY4" s="550" t="str">
        <f>IF(Calculs!$C$90&lt;&gt;Calculs!$C$91,UPPER(TEXT(AZ6,"mmm aaaa")),UPPER(TEXT(AZ6,"mmmm")))</f>
        <v>AOÛT</v>
      </c>
      <c r="AZ4" s="551"/>
      <c r="BA4" s="551"/>
      <c r="BB4" s="551"/>
      <c r="BC4" s="551"/>
      <c r="BD4" s="552"/>
      <c r="BE4" s="378"/>
      <c r="BF4" s="550" t="str">
        <f>IF(Calculs!$C$90&lt;&gt;Calculs!$C$91,UPPER(TEXT(BG6,"mmm aaaa")),UPPER(TEXT(BG6,"mmmm")))</f>
        <v>SEPTEMBRE</v>
      </c>
      <c r="BG4" s="551"/>
      <c r="BH4" s="551"/>
      <c r="BI4" s="551"/>
      <c r="BJ4" s="551"/>
      <c r="BK4" s="552"/>
      <c r="BL4" s="378"/>
      <c r="BM4" s="550" t="str">
        <f>IF(Calculs!$C$90&lt;&gt;Calculs!$C$91,UPPER(TEXT(BN6,"mmm aaaa")),UPPER(TEXT(BN6,"mmmm")))</f>
        <v>OCTOBRE</v>
      </c>
      <c r="BN4" s="551"/>
      <c r="BO4" s="551"/>
      <c r="BP4" s="551"/>
      <c r="BQ4" s="551"/>
      <c r="BR4" s="552"/>
      <c r="BS4" s="378"/>
      <c r="BT4" s="550" t="str">
        <f>IF(Calculs!$C$90&lt;&gt;Calculs!$C$91,UPPER(TEXT(BU6,"mmm aaaa")),UPPER(TEXT(BU6,"mmmm")))</f>
        <v>NOVEMBRE</v>
      </c>
      <c r="BU4" s="551"/>
      <c r="BV4" s="551"/>
      <c r="BW4" s="551"/>
      <c r="BX4" s="551"/>
      <c r="BY4" s="552"/>
      <c r="BZ4" s="378"/>
      <c r="CA4" s="550" t="str">
        <f>IF(Calculs!$C$90&lt;&gt;Calculs!$C$91,UPPER(TEXT(CB6,"mmm aaaa")),UPPER(TEXT(CB6,"mmmm")))</f>
        <v>DÉCEMBRE</v>
      </c>
      <c r="CB4" s="551"/>
      <c r="CC4" s="551"/>
      <c r="CD4" s="551"/>
      <c r="CE4" s="551"/>
      <c r="CF4" s="552"/>
      <c r="CG4" s="356"/>
    </row>
    <row r="5" spans="1:85" ht="7" customHeight="1" x14ac:dyDescent="0.15">
      <c r="A5" s="355"/>
      <c r="B5" s="41"/>
      <c r="C5" s="41"/>
      <c r="D5" s="335"/>
      <c r="E5" s="41"/>
      <c r="F5" s="41"/>
      <c r="G5" s="42"/>
      <c r="H5" s="43"/>
      <c r="I5" s="41"/>
      <c r="J5" s="41"/>
      <c r="K5" s="335"/>
      <c r="L5" s="41"/>
      <c r="M5" s="41"/>
      <c r="N5" s="42"/>
      <c r="O5" s="43"/>
      <c r="P5" s="41"/>
      <c r="Q5" s="41"/>
      <c r="R5" s="335"/>
      <c r="S5" s="41"/>
      <c r="T5" s="41"/>
      <c r="U5" s="42"/>
      <c r="V5" s="43"/>
      <c r="W5" s="41"/>
      <c r="X5" s="41"/>
      <c r="Y5" s="335"/>
      <c r="Z5" s="41"/>
      <c r="AA5" s="41"/>
      <c r="AB5" s="42"/>
      <c r="AC5" s="43"/>
      <c r="AD5" s="41"/>
      <c r="AE5" s="41"/>
      <c r="AF5" s="335"/>
      <c r="AG5" s="41"/>
      <c r="AH5" s="41"/>
      <c r="AI5" s="42"/>
      <c r="AJ5" s="43"/>
      <c r="AK5" s="41"/>
      <c r="AL5" s="41"/>
      <c r="AM5" s="335"/>
      <c r="AN5" s="41"/>
      <c r="AO5" s="41"/>
      <c r="AP5" s="42"/>
      <c r="AQ5" s="32"/>
      <c r="AR5" s="41"/>
      <c r="AS5" s="41"/>
      <c r="AT5" s="335"/>
      <c r="AU5" s="41"/>
      <c r="AV5" s="41"/>
      <c r="AW5" s="42"/>
      <c r="AX5" s="43"/>
      <c r="AY5" s="41"/>
      <c r="AZ5" s="41"/>
      <c r="BA5" s="335"/>
      <c r="BB5" s="41"/>
      <c r="BC5" s="41"/>
      <c r="BD5" s="42"/>
      <c r="BE5" s="43"/>
      <c r="BF5" s="41"/>
      <c r="BG5" s="41"/>
      <c r="BH5" s="335"/>
      <c r="BI5" s="41"/>
      <c r="BJ5" s="41"/>
      <c r="BK5" s="42"/>
      <c r="BL5" s="43"/>
      <c r="BM5" s="41"/>
      <c r="BN5" s="41"/>
      <c r="BO5" s="335"/>
      <c r="BP5" s="41"/>
      <c r="BQ5" s="41"/>
      <c r="BR5" s="42"/>
      <c r="BS5" s="43"/>
      <c r="BT5" s="41"/>
      <c r="BU5" s="41"/>
      <c r="BV5" s="335"/>
      <c r="BW5" s="41"/>
      <c r="BX5" s="41"/>
      <c r="BY5" s="42"/>
      <c r="BZ5" s="43"/>
      <c r="CA5" s="41"/>
      <c r="CB5" s="41"/>
      <c r="CC5" s="335"/>
      <c r="CD5" s="41"/>
      <c r="CE5" s="41"/>
      <c r="CF5" s="42"/>
      <c r="CG5" s="356"/>
    </row>
    <row r="6" spans="1:85" s="345" customFormat="1" ht="18" customHeight="1" x14ac:dyDescent="0.15">
      <c r="A6" s="359"/>
      <c r="B6" s="337" t="str">
        <f t="shared" ref="B6:B60" si="0">VLOOKUP(WEEKDAY(C6,2),TAB_SEMAINE,2,FALSE)</f>
        <v>Ve</v>
      </c>
      <c r="C6" s="338">
        <f>DATE(Ref_Annee,Ref_Mois,1)</f>
        <v>44197</v>
      </c>
      <c r="D6" s="344" t="str">
        <f>IF(ISNA(VLOOKUP(C6,TAB_FERIES_PURS,4,FALSE)),"",VLOOKUP(C6,TAB_FERIES_PURS,4,FALSE))</f>
        <v>F</v>
      </c>
      <c r="E6" s="338" t="str">
        <f>IF(MOD(MATCH(C6,Calculs!$R$4:$R$93,1),2)=0,""," ")</f>
        <v xml:space="preserve"> </v>
      </c>
      <c r="F6" s="338" t="str">
        <f>IF(MOD(MATCH(C6,Calculs!$S$4:$S$93,1),2)=0,""," ")</f>
        <v xml:space="preserve"> </v>
      </c>
      <c r="G6" s="347" t="str">
        <f>IF(MOD(MATCH(C6,Calculs!$T$4:$T$93,1),2)=0,""," ")</f>
        <v xml:space="preserve"> </v>
      </c>
      <c r="H6" s="339"/>
      <c r="I6" s="337" t="str">
        <f t="shared" ref="I6:I60" si="1">VLOOKUP(WEEKDAY(J6,2),TAB_SEMAINE,2,FALSE)</f>
        <v>Lu</v>
      </c>
      <c r="J6" s="338">
        <f>DATE(YEAR(C6),MONTH(C6)+1,1)</f>
        <v>44228</v>
      </c>
      <c r="K6" s="344" t="str">
        <f>IF(ISNA(VLOOKUP(J6,TAB_FERIES_PURS,4,FALSE)),"",VLOOKUP(J6,TAB_FERIES_PURS,4,FALSE))</f>
        <v/>
      </c>
      <c r="L6" s="338" t="str">
        <f>IF(MOD(MATCH(J6,Calculs!$R$4:$R$93,1),2)=0,""," ")</f>
        <v/>
      </c>
      <c r="M6" s="338" t="str">
        <f>IF(MOD(MATCH(J6,Calculs!$S$4:$S$93,1),2)=0,""," ")</f>
        <v/>
      </c>
      <c r="N6" s="347" t="str">
        <f>IF(MOD(MATCH(J6,Calculs!$T$4:$T$93,1),2)=0,""," ")</f>
        <v/>
      </c>
      <c r="O6" s="339"/>
      <c r="P6" s="337" t="str">
        <f t="shared" ref="P6:P60" si="2">VLOOKUP(WEEKDAY(Q6,2),TAB_SEMAINE,2,FALSE)</f>
        <v>Lu</v>
      </c>
      <c r="Q6" s="338">
        <f>DATE(YEAR(J6),MONTH(J6)+1,1)</f>
        <v>44256</v>
      </c>
      <c r="R6" s="344" t="str">
        <f>IF(ISNA(VLOOKUP(Q6,TAB_FERIES_PURS,4,FALSE)),"",VLOOKUP(Q6,TAB_FERIES_PURS,4,FALSE))</f>
        <v/>
      </c>
      <c r="S6" s="338" t="str">
        <f>IF(MOD(MATCH(Q6,Calculs!$R$4:$R$93,1),2)=0,""," ")</f>
        <v/>
      </c>
      <c r="T6" s="338" t="str">
        <f>IF(MOD(MATCH(Q6,Calculs!$S$4:$S$93,1),2)=0,""," ")</f>
        <v xml:space="preserve"> </v>
      </c>
      <c r="U6" s="347" t="str">
        <f>IF(MOD(MATCH(Q6,Calculs!$T$4:$T$93,1),2)=0,""," ")</f>
        <v/>
      </c>
      <c r="V6" s="339"/>
      <c r="W6" s="337" t="str">
        <f t="shared" ref="W6:W60" si="3">VLOOKUP(WEEKDAY(X6,2),TAB_SEMAINE,2,FALSE)</f>
        <v>Je</v>
      </c>
      <c r="X6" s="338">
        <f>DATE(YEAR(Q6),MONTH(Q6)+1,1)</f>
        <v>44287</v>
      </c>
      <c r="Y6" s="344" t="str">
        <f>IF(ISNA(VLOOKUP(X6,TAB_FERIES_PURS,4,FALSE)),"",VLOOKUP(X6,TAB_FERIES_PURS,4,FALSE))</f>
        <v/>
      </c>
      <c r="Z6" s="338" t="str">
        <f>IF(MOD(MATCH(X6,Calculs!$R$4:$R$93,1),2)=0,""," ")</f>
        <v/>
      </c>
      <c r="AA6" s="338" t="str">
        <f>IF(MOD(MATCH(X6,Calculs!$S$4:$S$93,1),2)=0,""," ")</f>
        <v/>
      </c>
      <c r="AB6" s="347" t="str">
        <f>IF(MOD(MATCH(X6,Calculs!$T$4:$T$93,1),2)=0,""," ")</f>
        <v/>
      </c>
      <c r="AC6" s="339"/>
      <c r="AD6" s="337" t="str">
        <f t="shared" ref="AD6:AD60" si="4">VLOOKUP(WEEKDAY(AE6,2),TAB_SEMAINE,2,FALSE)</f>
        <v>Sa</v>
      </c>
      <c r="AE6" s="338">
        <f>DATE(YEAR(X6),MONTH(X6)+1,1)</f>
        <v>44317</v>
      </c>
      <c r="AF6" s="344" t="str">
        <f>IF(ISNA(VLOOKUP(AE6,TAB_FERIES_PURS,4,FALSE)),"",VLOOKUP(AE6,TAB_FERIES_PURS,4,FALSE))</f>
        <v>F</v>
      </c>
      <c r="AG6" s="338" t="str">
        <f>IF(MOD(MATCH(AE6,Calculs!$R$4:$R$93,1),2)=0,""," ")</f>
        <v/>
      </c>
      <c r="AH6" s="338" t="str">
        <f>IF(MOD(MATCH(AE6,Calculs!$S$4:$S$93,1),2)=0,""," ")</f>
        <v xml:space="preserve"> </v>
      </c>
      <c r="AI6" s="347" t="str">
        <f>IF(MOD(MATCH(AE6,Calculs!$T$4:$T$93,1),2)=0,""," ")</f>
        <v xml:space="preserve"> </v>
      </c>
      <c r="AJ6" s="339"/>
      <c r="AK6" s="337" t="str">
        <f t="shared" ref="AK6:AK60" si="5">VLOOKUP(WEEKDAY(AL6,2),TAB_SEMAINE,2,FALSE)</f>
        <v>Ma</v>
      </c>
      <c r="AL6" s="338">
        <f>DATE(YEAR(AE6),MONTH(AE6)+1,1)</f>
        <v>44348</v>
      </c>
      <c r="AM6" s="344" t="str">
        <f>IF(ISNA(VLOOKUP(AL6,TAB_FERIES_PURS,4,FALSE)),"",VLOOKUP(AL6,TAB_FERIES_PURS,4,FALSE))</f>
        <v/>
      </c>
      <c r="AN6" s="338" t="str">
        <f>IF(MOD(MATCH(AL6,Calculs!$R$4:$R$93,1),2)=0,""," ")</f>
        <v/>
      </c>
      <c r="AO6" s="338" t="str">
        <f>IF(MOD(MATCH(AL6,Calculs!$S$4:$S$93,1),2)=0,""," ")</f>
        <v/>
      </c>
      <c r="AP6" s="347" t="str">
        <f>IF(MOD(MATCH(AL6,Calculs!$T$4:$T$93,1),2)=0,""," ")</f>
        <v/>
      </c>
      <c r="AQ6" s="339"/>
      <c r="AR6" s="337" t="str">
        <f t="shared" ref="AR6:AR60" si="6">VLOOKUP(WEEKDAY(AS6,2),TAB_SEMAINE,2,FALSE)</f>
        <v>Je</v>
      </c>
      <c r="AS6" s="338">
        <f>DATE(YEAR(AL6),MONTH(AL6)+1,1)</f>
        <v>44378</v>
      </c>
      <c r="AT6" s="344" t="str">
        <f>IF(ISNA(VLOOKUP(AS6,TAB_FERIES_PURS,4,FALSE)),"",VLOOKUP(AS6,TAB_FERIES_PURS,4,FALSE))</f>
        <v/>
      </c>
      <c r="AU6" s="338" t="str">
        <f>IF(MOD(MATCH(AS6,Calculs!$R$4:$R$93,1),2)=0,""," ")</f>
        <v/>
      </c>
      <c r="AV6" s="338" t="str">
        <f>IF(MOD(MATCH(AS6,Calculs!$S$4:$S$93,1),2)=0,""," ")</f>
        <v/>
      </c>
      <c r="AW6" s="347" t="str">
        <f>IF(MOD(MATCH(AS6,Calculs!$T$4:$T$93,1),2)=0,""," ")</f>
        <v/>
      </c>
      <c r="AX6" s="339"/>
      <c r="AY6" s="337" t="str">
        <f t="shared" ref="AY6:AY60" si="7">VLOOKUP(WEEKDAY(AZ6,2),TAB_SEMAINE,2,FALSE)</f>
        <v>Di</v>
      </c>
      <c r="AZ6" s="338">
        <f>DATE(YEAR(J6),MONTH(J6)+6,1)</f>
        <v>44409</v>
      </c>
      <c r="BA6" s="344" t="str">
        <f>IF(ISNA(VLOOKUP(AZ6,TAB_FERIES_PURS,4,FALSE)),"",VLOOKUP(AZ6,TAB_FERIES_PURS,4,FALSE))</f>
        <v/>
      </c>
      <c r="BB6" s="338" t="str">
        <f>IF(MOD(MATCH(AZ6,Calculs!$R$4:$R$93,1),2)=0,""," ")</f>
        <v xml:space="preserve"> </v>
      </c>
      <c r="BC6" s="338" t="str">
        <f>IF(MOD(MATCH(AZ6,Calculs!$S$4:$S$93,1),2)=0,""," ")</f>
        <v xml:space="preserve"> </v>
      </c>
      <c r="BD6" s="347" t="str">
        <f>IF(MOD(MATCH(AZ6,Calculs!$T$4:$T$93,1),2)=0,""," ")</f>
        <v xml:space="preserve"> </v>
      </c>
      <c r="BE6" s="339"/>
      <c r="BF6" s="337" t="str">
        <f t="shared" ref="BF6:BF60" si="8">VLOOKUP(WEEKDAY(BG6,2),TAB_SEMAINE,2,FALSE)</f>
        <v>Me</v>
      </c>
      <c r="BG6" s="338">
        <f>DATE(YEAR(Q6),MONTH(Q6)+6,1)</f>
        <v>44440</v>
      </c>
      <c r="BH6" s="344" t="str">
        <f>IF(ISNA(VLOOKUP(BG6,TAB_FERIES_PURS,4,FALSE)),"",VLOOKUP(BG6,TAB_FERIES_PURS,4,FALSE))</f>
        <v/>
      </c>
      <c r="BI6" s="338" t="str">
        <f>IF(MOD(MATCH(BG6,Calculs!$R$4:$R$93,1),2)=0,""," ")</f>
        <v/>
      </c>
      <c r="BJ6" s="338" t="str">
        <f>IF(MOD(MATCH(BG6,Calculs!$S$4:$S$93,1),2)=0,""," ")</f>
        <v/>
      </c>
      <c r="BK6" s="347" t="str">
        <f>IF(MOD(MATCH(BG6,Calculs!$T$4:$T$93,1),2)=0,""," ")</f>
        <v/>
      </c>
      <c r="BL6" s="339"/>
      <c r="BM6" s="337" t="str">
        <f t="shared" ref="BM6:BM60" si="9">VLOOKUP(WEEKDAY(BN6,2),TAB_SEMAINE,2,FALSE)</f>
        <v>Ve</v>
      </c>
      <c r="BN6" s="338">
        <f>DATE(YEAR(X6),MONTH(X6)+6,1)</f>
        <v>44470</v>
      </c>
      <c r="BO6" s="344" t="str">
        <f>IF(ISNA(VLOOKUP(BN6,TAB_FERIES_PURS,4,FALSE)),"",VLOOKUP(BN6,TAB_FERIES_PURS,4,FALSE))</f>
        <v/>
      </c>
      <c r="BP6" s="338" t="str">
        <f>IF(MOD(MATCH(BN6,Calculs!$R$4:$R$93,1),2)=0,""," ")</f>
        <v/>
      </c>
      <c r="BQ6" s="338" t="str">
        <f>IF(MOD(MATCH(BN6,Calculs!$S$4:$S$93,1),2)=0,""," ")</f>
        <v/>
      </c>
      <c r="BR6" s="347" t="str">
        <f>IF(MOD(MATCH(BN6,Calculs!$T$4:$T$93,1),2)=0,""," ")</f>
        <v/>
      </c>
      <c r="BS6" s="339"/>
      <c r="BT6" s="337" t="str">
        <f t="shared" ref="BT6:BT60" si="10">VLOOKUP(WEEKDAY(BU6,2),TAB_SEMAINE,2,FALSE)</f>
        <v>Lu</v>
      </c>
      <c r="BU6" s="338">
        <f>DATE(YEAR(AE6),MONTH(AE6)+6,1)</f>
        <v>44501</v>
      </c>
      <c r="BV6" s="344" t="str">
        <f>IF(ISNA(VLOOKUP(BU6,TAB_FERIES_PURS,4,FALSE)),"",VLOOKUP(BU6,TAB_FERIES_PURS,4,FALSE))</f>
        <v>F</v>
      </c>
      <c r="BW6" s="338" t="str">
        <f>IF(MOD(MATCH(BU6,Calculs!$R$4:$R$93,1),2)=0,""," ")</f>
        <v/>
      </c>
      <c r="BX6" s="338" t="str">
        <f>IF(MOD(MATCH(BU6,Calculs!$S$4:$S$93,1),2)=0,""," ")</f>
        <v/>
      </c>
      <c r="BY6" s="347" t="str">
        <f>IF(MOD(MATCH(BU6,Calculs!$T$4:$T$93,1),2)=0,""," ")</f>
        <v/>
      </c>
      <c r="BZ6" s="339"/>
      <c r="CA6" s="337" t="str">
        <f t="shared" ref="CA6:CA60" si="11">VLOOKUP(WEEKDAY(CB6,2),TAB_SEMAINE,2,FALSE)</f>
        <v>Me</v>
      </c>
      <c r="CB6" s="338">
        <f>DATE(YEAR(AL6),MONTH(AL6)+6,1)</f>
        <v>44531</v>
      </c>
      <c r="CC6" s="344" t="str">
        <f>IF(ISNA(VLOOKUP(CB6,TAB_FERIES_PURS,4,FALSE)),"",VLOOKUP(CB6,TAB_FERIES_PURS,4,FALSE))</f>
        <v/>
      </c>
      <c r="CD6" s="338" t="str">
        <f>IF(MOD(MATCH(CB6,Calculs!$R$4:$R$93,1),2)=0,""," ")</f>
        <v/>
      </c>
      <c r="CE6" s="338" t="str">
        <f>IF(MOD(MATCH(CB6,Calculs!$S$4:$S$93,1),2)=0,""," ")</f>
        <v/>
      </c>
      <c r="CF6" s="347" t="str">
        <f>IF(MOD(MATCH(CB6,Calculs!$T$4:$T$93,1),2)=0,""," ")</f>
        <v/>
      </c>
      <c r="CG6" s="360"/>
    </row>
    <row r="7" spans="1:85" s="345" customFormat="1" ht="4" customHeight="1" x14ac:dyDescent="0.15">
      <c r="A7" s="359"/>
      <c r="B7" s="337"/>
      <c r="C7" s="338"/>
      <c r="D7" s="340"/>
      <c r="E7" s="339"/>
      <c r="F7" s="339"/>
      <c r="G7" s="347"/>
      <c r="H7" s="339"/>
      <c r="I7" s="337"/>
      <c r="J7" s="338"/>
      <c r="K7" s="340"/>
      <c r="L7" s="339"/>
      <c r="M7" s="339"/>
      <c r="N7" s="347"/>
      <c r="O7" s="339"/>
      <c r="P7" s="337"/>
      <c r="Q7" s="338"/>
      <c r="R7" s="340"/>
      <c r="S7" s="339"/>
      <c r="T7" s="339"/>
      <c r="U7" s="347"/>
      <c r="V7" s="339"/>
      <c r="W7" s="337"/>
      <c r="X7" s="338"/>
      <c r="Y7" s="340"/>
      <c r="Z7" s="339"/>
      <c r="AA7" s="339"/>
      <c r="AB7" s="347"/>
      <c r="AC7" s="339"/>
      <c r="AD7" s="337"/>
      <c r="AE7" s="338"/>
      <c r="AF7" s="340"/>
      <c r="AG7" s="339"/>
      <c r="AH7" s="339"/>
      <c r="AI7" s="347"/>
      <c r="AJ7" s="339"/>
      <c r="AK7" s="337"/>
      <c r="AL7" s="338"/>
      <c r="AM7" s="340"/>
      <c r="AN7" s="339"/>
      <c r="AO7" s="339"/>
      <c r="AP7" s="347"/>
      <c r="AQ7" s="339"/>
      <c r="AR7" s="337"/>
      <c r="AS7" s="338"/>
      <c r="AT7" s="340"/>
      <c r="AU7" s="339"/>
      <c r="AV7" s="339"/>
      <c r="AW7" s="347"/>
      <c r="AX7" s="339"/>
      <c r="AY7" s="337"/>
      <c r="AZ7" s="338"/>
      <c r="BA7" s="340"/>
      <c r="BB7" s="339"/>
      <c r="BC7" s="339"/>
      <c r="BD7" s="347"/>
      <c r="BE7" s="339"/>
      <c r="BF7" s="337"/>
      <c r="BG7" s="338"/>
      <c r="BH7" s="340"/>
      <c r="BI7" s="339"/>
      <c r="BJ7" s="339"/>
      <c r="BK7" s="347"/>
      <c r="BL7" s="339"/>
      <c r="BM7" s="337"/>
      <c r="BN7" s="338"/>
      <c r="BO7" s="340"/>
      <c r="BP7" s="339"/>
      <c r="BQ7" s="339"/>
      <c r="BR7" s="347"/>
      <c r="BS7" s="339"/>
      <c r="BT7" s="337"/>
      <c r="BU7" s="338"/>
      <c r="BV7" s="340"/>
      <c r="BW7" s="339"/>
      <c r="BX7" s="339"/>
      <c r="BY7" s="347"/>
      <c r="BZ7" s="339"/>
      <c r="CA7" s="337"/>
      <c r="CB7" s="338"/>
      <c r="CC7" s="340"/>
      <c r="CD7" s="339"/>
      <c r="CE7" s="339"/>
      <c r="CF7" s="347"/>
      <c r="CG7" s="360"/>
    </row>
    <row r="8" spans="1:85" s="345" customFormat="1" ht="18" customHeight="1" x14ac:dyDescent="0.15">
      <c r="A8" s="359"/>
      <c r="B8" s="337" t="str">
        <f t="shared" si="0"/>
        <v>Sa</v>
      </c>
      <c r="C8" s="338">
        <f>+C6+1</f>
        <v>44198</v>
      </c>
      <c r="D8" s="344" t="str">
        <f>IF(ISNA(VLOOKUP(C8,TAB_FERIES_PURS,4,FALSE)),"",VLOOKUP(C8,TAB_FERIES_PURS,4,FALSE))</f>
        <v/>
      </c>
      <c r="E8" s="338" t="str">
        <f>IF(MOD(MATCH(C8,Calculs!$R$4:$R$93,1),2)=0,""," ")</f>
        <v xml:space="preserve"> </v>
      </c>
      <c r="F8" s="338" t="str">
        <f>IF(MOD(MATCH(C8,Calculs!$S$4:$S$93,1),2)=0,""," ")</f>
        <v xml:space="preserve"> </v>
      </c>
      <c r="G8" s="347" t="str">
        <f>IF(MOD(MATCH(C8,Calculs!$T$4:$T$93,1),2)=0,""," ")</f>
        <v xml:space="preserve"> </v>
      </c>
      <c r="H8" s="339"/>
      <c r="I8" s="337" t="str">
        <f t="shared" si="1"/>
        <v>Ma</v>
      </c>
      <c r="J8" s="338">
        <f>+J6+1</f>
        <v>44229</v>
      </c>
      <c r="K8" s="344" t="str">
        <f>IF(ISNA(VLOOKUP(J8,TAB_FERIES_PURS,4,FALSE)),"",VLOOKUP(J8,TAB_FERIES_PURS,4,FALSE))</f>
        <v/>
      </c>
      <c r="L8" s="338" t="str">
        <f>IF(MOD(MATCH(J8,Calculs!$R$4:$R$93,1),2)=0,""," ")</f>
        <v/>
      </c>
      <c r="M8" s="338" t="str">
        <f>IF(MOD(MATCH(J8,Calculs!$S$4:$S$93,1),2)=0,""," ")</f>
        <v/>
      </c>
      <c r="N8" s="347" t="str">
        <f>IF(MOD(MATCH(J8,Calculs!$T$4:$T$93,1),2)=0,""," ")</f>
        <v/>
      </c>
      <c r="O8" s="339"/>
      <c r="P8" s="337" t="str">
        <f t="shared" si="2"/>
        <v>Ma</v>
      </c>
      <c r="Q8" s="338">
        <f>+Q6+1</f>
        <v>44257</v>
      </c>
      <c r="R8" s="344" t="str">
        <f>IF(ISNA(VLOOKUP(Q8,TAB_FERIES_PURS,4,FALSE)),"",VLOOKUP(Q8,TAB_FERIES_PURS,4,FALSE))</f>
        <v/>
      </c>
      <c r="S8" s="338" t="str">
        <f>IF(MOD(MATCH(Q8,Calculs!$R$4:$R$93,1),2)=0,""," ")</f>
        <v/>
      </c>
      <c r="T8" s="338" t="str">
        <f>IF(MOD(MATCH(Q8,Calculs!$S$4:$S$93,1),2)=0,""," ")</f>
        <v xml:space="preserve"> </v>
      </c>
      <c r="U8" s="347" t="str">
        <f>IF(MOD(MATCH(Q8,Calculs!$T$4:$T$93,1),2)=0,""," ")</f>
        <v/>
      </c>
      <c r="V8" s="339"/>
      <c r="W8" s="337" t="str">
        <f t="shared" si="3"/>
        <v>Ve</v>
      </c>
      <c r="X8" s="338">
        <f>+X6+1</f>
        <v>44288</v>
      </c>
      <c r="Y8" s="344" t="str">
        <f>IF(ISNA(VLOOKUP(X8,TAB_FERIES_PURS,4,FALSE)),"",VLOOKUP(X8,TAB_FERIES_PURS,4,FALSE))</f>
        <v/>
      </c>
      <c r="Z8" s="338" t="str">
        <f>IF(MOD(MATCH(X8,Calculs!$R$4:$R$93,1),2)=0,""," ")</f>
        <v/>
      </c>
      <c r="AA8" s="338" t="str">
        <f>IF(MOD(MATCH(X8,Calculs!$S$4:$S$93,1),2)=0,""," ")</f>
        <v/>
      </c>
      <c r="AB8" s="347" t="str">
        <f>IF(MOD(MATCH(X8,Calculs!$T$4:$T$93,1),2)=0,""," ")</f>
        <v/>
      </c>
      <c r="AC8" s="339"/>
      <c r="AD8" s="337" t="str">
        <f t="shared" si="4"/>
        <v>Di</v>
      </c>
      <c r="AE8" s="338">
        <f>+AE6+1</f>
        <v>44318</v>
      </c>
      <c r="AF8" s="344" t="str">
        <f>IF(ISNA(VLOOKUP(AE8,TAB_FERIES_PURS,4,FALSE)),"",VLOOKUP(AE8,TAB_FERIES_PURS,4,FALSE))</f>
        <v/>
      </c>
      <c r="AG8" s="338" t="str">
        <f>IF(MOD(MATCH(AE8,Calculs!$R$4:$R$93,1),2)=0,""," ")</f>
        <v/>
      </c>
      <c r="AH8" s="338" t="str">
        <f>IF(MOD(MATCH(AE8,Calculs!$S$4:$S$93,1),2)=0,""," ")</f>
        <v xml:space="preserve"> </v>
      </c>
      <c r="AI8" s="347" t="str">
        <f>IF(MOD(MATCH(AE8,Calculs!$T$4:$T$93,1),2)=0,""," ")</f>
        <v xml:space="preserve"> </v>
      </c>
      <c r="AJ8" s="339"/>
      <c r="AK8" s="337" t="str">
        <f t="shared" si="5"/>
        <v>Me</v>
      </c>
      <c r="AL8" s="338">
        <f>+AL6+1</f>
        <v>44349</v>
      </c>
      <c r="AM8" s="344" t="str">
        <f>IF(ISNA(VLOOKUP(AL8,TAB_FERIES_PURS,4,FALSE)),"",VLOOKUP(AL8,TAB_FERIES_PURS,4,FALSE))</f>
        <v/>
      </c>
      <c r="AN8" s="338" t="str">
        <f>IF(MOD(MATCH(AL8,Calculs!$R$4:$R$93,1),2)=0,""," ")</f>
        <v/>
      </c>
      <c r="AO8" s="338" t="str">
        <f>IF(MOD(MATCH(AL8,Calculs!$S$4:$S$93,1),2)=0,""," ")</f>
        <v/>
      </c>
      <c r="AP8" s="347" t="str">
        <f>IF(MOD(MATCH(AL8,Calculs!$T$4:$T$93,1),2)=0,""," ")</f>
        <v/>
      </c>
      <c r="AQ8" s="339"/>
      <c r="AR8" s="337" t="str">
        <f t="shared" si="6"/>
        <v>Ve</v>
      </c>
      <c r="AS8" s="338">
        <f>+AS6+1</f>
        <v>44379</v>
      </c>
      <c r="AT8" s="344" t="str">
        <f>IF(ISNA(VLOOKUP(AS8,TAB_FERIES_PURS,4,FALSE)),"",VLOOKUP(AS8,TAB_FERIES_PURS,4,FALSE))</f>
        <v/>
      </c>
      <c r="AU8" s="338" t="str">
        <f>IF(MOD(MATCH(AS8,Calculs!$R$4:$R$93,1),2)=0,""," ")</f>
        <v/>
      </c>
      <c r="AV8" s="338" t="str">
        <f>IF(MOD(MATCH(AS8,Calculs!$S$4:$S$93,1),2)=0,""," ")</f>
        <v/>
      </c>
      <c r="AW8" s="347" t="str">
        <f>IF(MOD(MATCH(AS8,Calculs!$T$4:$T$93,1),2)=0,""," ")</f>
        <v/>
      </c>
      <c r="AX8" s="339"/>
      <c r="AY8" s="337" t="str">
        <f t="shared" si="7"/>
        <v>Lu</v>
      </c>
      <c r="AZ8" s="338">
        <f>+AZ6+1</f>
        <v>44410</v>
      </c>
      <c r="BA8" s="344" t="str">
        <f>IF(ISNA(VLOOKUP(AZ8,TAB_FERIES_PURS,4,FALSE)),"",VLOOKUP(AZ8,TAB_FERIES_PURS,4,FALSE))</f>
        <v/>
      </c>
      <c r="BB8" s="338" t="str">
        <f>IF(MOD(MATCH(AZ8,Calculs!$R$4:$R$93,1),2)=0,""," ")</f>
        <v xml:space="preserve"> </v>
      </c>
      <c r="BC8" s="338" t="str">
        <f>IF(MOD(MATCH(AZ8,Calculs!$S$4:$S$93,1),2)=0,""," ")</f>
        <v xml:space="preserve"> </v>
      </c>
      <c r="BD8" s="347" t="str">
        <f>IF(MOD(MATCH(AZ8,Calculs!$T$4:$T$93,1),2)=0,""," ")</f>
        <v xml:space="preserve"> </v>
      </c>
      <c r="BE8" s="339"/>
      <c r="BF8" s="337" t="str">
        <f t="shared" si="8"/>
        <v>Je</v>
      </c>
      <c r="BG8" s="338">
        <f>+BG6+1</f>
        <v>44441</v>
      </c>
      <c r="BH8" s="344" t="str">
        <f>IF(ISNA(VLOOKUP(BG8,TAB_FERIES_PURS,4,FALSE)),"",VLOOKUP(BG8,TAB_FERIES_PURS,4,FALSE))</f>
        <v/>
      </c>
      <c r="BI8" s="338" t="str">
        <f>IF(MOD(MATCH(BG8,Calculs!$R$4:$R$93,1),2)=0,""," ")</f>
        <v/>
      </c>
      <c r="BJ8" s="338" t="str">
        <f>IF(MOD(MATCH(BG8,Calculs!$S$4:$S$93,1),2)=0,""," ")</f>
        <v/>
      </c>
      <c r="BK8" s="347" t="str">
        <f>IF(MOD(MATCH(BG8,Calculs!$T$4:$T$93,1),2)=0,""," ")</f>
        <v/>
      </c>
      <c r="BL8" s="339"/>
      <c r="BM8" s="337" t="str">
        <f t="shared" si="9"/>
        <v>Sa</v>
      </c>
      <c r="BN8" s="338">
        <f>+BN6+1</f>
        <v>44471</v>
      </c>
      <c r="BO8" s="344" t="str">
        <f>IF(ISNA(VLOOKUP(BN8,TAB_FERIES_PURS,4,FALSE)),"",VLOOKUP(BN8,TAB_FERIES_PURS,4,FALSE))</f>
        <v/>
      </c>
      <c r="BP8" s="338" t="str">
        <f>IF(MOD(MATCH(BN8,Calculs!$R$4:$R$93,1),2)=0,""," ")</f>
        <v/>
      </c>
      <c r="BQ8" s="338" t="str">
        <f>IF(MOD(MATCH(BN8,Calculs!$S$4:$S$93,1),2)=0,""," ")</f>
        <v/>
      </c>
      <c r="BR8" s="347" t="str">
        <f>IF(MOD(MATCH(BN8,Calculs!$T$4:$T$93,1),2)=0,""," ")</f>
        <v/>
      </c>
      <c r="BS8" s="339"/>
      <c r="BT8" s="337" t="str">
        <f t="shared" si="10"/>
        <v>Ma</v>
      </c>
      <c r="BU8" s="338">
        <f>+BU6+1</f>
        <v>44502</v>
      </c>
      <c r="BV8" s="344" t="str">
        <f>IF(ISNA(VLOOKUP(BU8,TAB_FERIES_PURS,4,FALSE)),"",VLOOKUP(BU8,TAB_FERIES_PURS,4,FALSE))</f>
        <v/>
      </c>
      <c r="BW8" s="338" t="str">
        <f>IF(MOD(MATCH(BU8,Calculs!$R$4:$R$93,1),2)=0,""," ")</f>
        <v/>
      </c>
      <c r="BX8" s="338" t="str">
        <f>IF(MOD(MATCH(BU8,Calculs!$S$4:$S$93,1),2)=0,""," ")</f>
        <v/>
      </c>
      <c r="BY8" s="347" t="str">
        <f>IF(MOD(MATCH(BU8,Calculs!$T$4:$T$93,1),2)=0,""," ")</f>
        <v/>
      </c>
      <c r="BZ8" s="339"/>
      <c r="CA8" s="337" t="str">
        <f t="shared" si="11"/>
        <v>Je</v>
      </c>
      <c r="CB8" s="338">
        <f>+CB6+1</f>
        <v>44532</v>
      </c>
      <c r="CC8" s="344" t="str">
        <f>IF(ISNA(VLOOKUP(CB8,TAB_FERIES_PURS,4,FALSE)),"",VLOOKUP(CB8,TAB_FERIES_PURS,4,FALSE))</f>
        <v/>
      </c>
      <c r="CD8" s="338" t="str">
        <f>IF(MOD(MATCH(CB8,Calculs!$R$4:$R$93,1),2)=0,""," ")</f>
        <v/>
      </c>
      <c r="CE8" s="338" t="str">
        <f>IF(MOD(MATCH(CB8,Calculs!$S$4:$S$93,1),2)=0,""," ")</f>
        <v/>
      </c>
      <c r="CF8" s="347" t="str">
        <f>IF(MOD(MATCH(CB8,Calculs!$T$4:$T$93,1),2)=0,""," ")</f>
        <v/>
      </c>
      <c r="CG8" s="360"/>
    </row>
    <row r="9" spans="1:85" s="345" customFormat="1" ht="4" customHeight="1" x14ac:dyDescent="0.15">
      <c r="A9" s="359"/>
      <c r="B9" s="337"/>
      <c r="C9" s="338"/>
      <c r="D9" s="340"/>
      <c r="E9" s="339"/>
      <c r="F9" s="339"/>
      <c r="G9" s="347"/>
      <c r="H9" s="339"/>
      <c r="I9" s="337"/>
      <c r="J9" s="338"/>
      <c r="K9" s="340"/>
      <c r="L9" s="339"/>
      <c r="M9" s="339"/>
      <c r="N9" s="347"/>
      <c r="O9" s="339"/>
      <c r="P9" s="337"/>
      <c r="Q9" s="338"/>
      <c r="R9" s="340"/>
      <c r="S9" s="339"/>
      <c r="T9" s="339"/>
      <c r="U9" s="347"/>
      <c r="V9" s="339"/>
      <c r="W9" s="337"/>
      <c r="X9" s="338"/>
      <c r="Y9" s="340"/>
      <c r="Z9" s="339"/>
      <c r="AA9" s="339"/>
      <c r="AB9" s="347"/>
      <c r="AC9" s="339"/>
      <c r="AD9" s="337"/>
      <c r="AE9" s="338"/>
      <c r="AF9" s="340"/>
      <c r="AG9" s="339"/>
      <c r="AH9" s="339"/>
      <c r="AI9" s="347"/>
      <c r="AJ9" s="339"/>
      <c r="AK9" s="337"/>
      <c r="AL9" s="338"/>
      <c r="AM9" s="340"/>
      <c r="AN9" s="339"/>
      <c r="AO9" s="339"/>
      <c r="AP9" s="347"/>
      <c r="AQ9" s="339"/>
      <c r="AR9" s="337"/>
      <c r="AS9" s="338"/>
      <c r="AT9" s="340"/>
      <c r="AU9" s="339"/>
      <c r="AV9" s="339"/>
      <c r="AW9" s="347"/>
      <c r="AX9" s="339"/>
      <c r="AY9" s="337"/>
      <c r="AZ9" s="338"/>
      <c r="BA9" s="340"/>
      <c r="BB9" s="339"/>
      <c r="BC9" s="339"/>
      <c r="BD9" s="347"/>
      <c r="BE9" s="339"/>
      <c r="BF9" s="337"/>
      <c r="BG9" s="338"/>
      <c r="BH9" s="340"/>
      <c r="BI9" s="339"/>
      <c r="BJ9" s="339"/>
      <c r="BK9" s="347"/>
      <c r="BL9" s="339"/>
      <c r="BM9" s="337"/>
      <c r="BN9" s="338"/>
      <c r="BO9" s="340"/>
      <c r="BP9" s="339"/>
      <c r="BQ9" s="339"/>
      <c r="BR9" s="347"/>
      <c r="BS9" s="339"/>
      <c r="BT9" s="337"/>
      <c r="BU9" s="338"/>
      <c r="BV9" s="340"/>
      <c r="BW9" s="339"/>
      <c r="BX9" s="339"/>
      <c r="BY9" s="347"/>
      <c r="BZ9" s="339"/>
      <c r="CA9" s="337"/>
      <c r="CB9" s="338"/>
      <c r="CC9" s="340"/>
      <c r="CD9" s="339"/>
      <c r="CE9" s="339"/>
      <c r="CF9" s="347"/>
      <c r="CG9" s="360"/>
    </row>
    <row r="10" spans="1:85" s="345" customFormat="1" ht="18" customHeight="1" x14ac:dyDescent="0.15">
      <c r="A10" s="359"/>
      <c r="B10" s="337" t="str">
        <f t="shared" si="0"/>
        <v>Di</v>
      </c>
      <c r="C10" s="338">
        <f>+C8+1</f>
        <v>44199</v>
      </c>
      <c r="D10" s="344" t="str">
        <f>IF(ISNA(VLOOKUP(C10,TAB_FERIES_PURS,4,FALSE)),"",VLOOKUP(C10,TAB_FERIES_PURS,4,FALSE))</f>
        <v/>
      </c>
      <c r="E10" s="338" t="str">
        <f>IF(MOD(MATCH(C10,Calculs!$R$4:$R$93,1),2)=0,""," ")</f>
        <v xml:space="preserve"> </v>
      </c>
      <c r="F10" s="338" t="str">
        <f>IF(MOD(MATCH(C10,Calculs!$S$4:$S$93,1),2)=0,""," ")</f>
        <v xml:space="preserve"> </v>
      </c>
      <c r="G10" s="347" t="str">
        <f>IF(MOD(MATCH(C10,Calculs!$T$4:$T$93,1),2)=0,""," ")</f>
        <v xml:space="preserve"> </v>
      </c>
      <c r="H10" s="339"/>
      <c r="I10" s="337" t="str">
        <f t="shared" si="1"/>
        <v>Me</v>
      </c>
      <c r="J10" s="338">
        <f>+J8+1</f>
        <v>44230</v>
      </c>
      <c r="K10" s="344" t="str">
        <f>IF(ISNA(VLOOKUP(J10,TAB_FERIES_PURS,4,FALSE)),"",VLOOKUP(J10,TAB_FERIES_PURS,4,FALSE))</f>
        <v/>
      </c>
      <c r="L10" s="338" t="str">
        <f>IF(MOD(MATCH(J10,Calculs!$R$4:$R$93,1),2)=0,""," ")</f>
        <v/>
      </c>
      <c r="M10" s="338" t="str">
        <f>IF(MOD(MATCH(J10,Calculs!$S$4:$S$93,1),2)=0,""," ")</f>
        <v/>
      </c>
      <c r="N10" s="347" t="str">
        <f>IF(MOD(MATCH(J10,Calculs!$T$4:$T$93,1),2)=0,""," ")</f>
        <v/>
      </c>
      <c r="O10" s="339"/>
      <c r="P10" s="337" t="str">
        <f t="shared" si="2"/>
        <v>Me</v>
      </c>
      <c r="Q10" s="338">
        <f>+Q8+1</f>
        <v>44258</v>
      </c>
      <c r="R10" s="344" t="str">
        <f>IF(ISNA(VLOOKUP(Q10,TAB_FERIES_PURS,4,FALSE)),"",VLOOKUP(Q10,TAB_FERIES_PURS,4,FALSE))</f>
        <v/>
      </c>
      <c r="S10" s="338" t="str">
        <f>IF(MOD(MATCH(Q10,Calculs!$R$4:$R$93,1),2)=0,""," ")</f>
        <v/>
      </c>
      <c r="T10" s="338" t="str">
        <f>IF(MOD(MATCH(Q10,Calculs!$S$4:$S$93,1),2)=0,""," ")</f>
        <v xml:space="preserve"> </v>
      </c>
      <c r="U10" s="347" t="str">
        <f>IF(MOD(MATCH(Q10,Calculs!$T$4:$T$93,1),2)=0,""," ")</f>
        <v/>
      </c>
      <c r="V10" s="339"/>
      <c r="W10" s="337" t="str">
        <f t="shared" si="3"/>
        <v>Sa</v>
      </c>
      <c r="X10" s="338">
        <f>+X8+1</f>
        <v>44289</v>
      </c>
      <c r="Y10" s="344" t="str">
        <f>IF(ISNA(VLOOKUP(X10,TAB_FERIES_PURS,4,FALSE)),"",VLOOKUP(X10,TAB_FERIES_PURS,4,FALSE))</f>
        <v/>
      </c>
      <c r="Z10" s="338" t="str">
        <f>IF(MOD(MATCH(X10,Calculs!$R$4:$R$93,1),2)=0,""," ")</f>
        <v/>
      </c>
      <c r="AA10" s="338" t="str">
        <f>IF(MOD(MATCH(X10,Calculs!$S$4:$S$93,1),2)=0,""," ")</f>
        <v/>
      </c>
      <c r="AB10" s="347" t="str">
        <f>IF(MOD(MATCH(X10,Calculs!$T$4:$T$93,1),2)=0,""," ")</f>
        <v/>
      </c>
      <c r="AC10" s="339"/>
      <c r="AD10" s="337" t="str">
        <f t="shared" si="4"/>
        <v>Lu</v>
      </c>
      <c r="AE10" s="338">
        <f>+AE8+1</f>
        <v>44319</v>
      </c>
      <c r="AF10" s="344" t="str">
        <f>IF(ISNA(VLOOKUP(AE10,TAB_FERIES_PURS,4,FALSE)),"",VLOOKUP(AE10,TAB_FERIES_PURS,4,FALSE))</f>
        <v/>
      </c>
      <c r="AG10" s="338" t="str">
        <f>IF(MOD(MATCH(AE10,Calculs!$R$4:$R$93,1),2)=0,""," ")</f>
        <v/>
      </c>
      <c r="AH10" s="338" t="str">
        <f>IF(MOD(MATCH(AE10,Calculs!$S$4:$S$93,1),2)=0,""," ")</f>
        <v xml:space="preserve"> </v>
      </c>
      <c r="AI10" s="347" t="str">
        <f>IF(MOD(MATCH(AE10,Calculs!$T$4:$T$93,1),2)=0,""," ")</f>
        <v/>
      </c>
      <c r="AJ10" s="339"/>
      <c r="AK10" s="337" t="str">
        <f t="shared" si="5"/>
        <v>Je</v>
      </c>
      <c r="AL10" s="338">
        <f>+AL8+1</f>
        <v>44350</v>
      </c>
      <c r="AM10" s="344" t="str">
        <f>IF(ISNA(VLOOKUP(AL10,TAB_FERIES_PURS,4,FALSE)),"",VLOOKUP(AL10,TAB_FERIES_PURS,4,FALSE))</f>
        <v/>
      </c>
      <c r="AN10" s="338" t="str">
        <f>IF(MOD(MATCH(AL10,Calculs!$R$4:$R$93,1),2)=0,""," ")</f>
        <v/>
      </c>
      <c r="AO10" s="338" t="str">
        <f>IF(MOD(MATCH(AL10,Calculs!$S$4:$S$93,1),2)=0,""," ")</f>
        <v/>
      </c>
      <c r="AP10" s="347" t="str">
        <f>IF(MOD(MATCH(AL10,Calculs!$T$4:$T$93,1),2)=0,""," ")</f>
        <v/>
      </c>
      <c r="AQ10" s="339"/>
      <c r="AR10" s="337" t="str">
        <f t="shared" si="6"/>
        <v>Sa</v>
      </c>
      <c r="AS10" s="338">
        <f>+AS8+1</f>
        <v>44380</v>
      </c>
      <c r="AT10" s="344" t="str">
        <f>IF(ISNA(VLOOKUP(AS10,TAB_FERIES_PURS,4,FALSE)),"",VLOOKUP(AS10,TAB_FERIES_PURS,4,FALSE))</f>
        <v/>
      </c>
      <c r="AU10" s="338" t="str">
        <f>IF(MOD(MATCH(AS10,Calculs!$R$4:$R$93,1),2)=0,""," ")</f>
        <v/>
      </c>
      <c r="AV10" s="338" t="str">
        <f>IF(MOD(MATCH(AS10,Calculs!$S$4:$S$93,1),2)=0,""," ")</f>
        <v/>
      </c>
      <c r="AW10" s="347" t="str">
        <f>IF(MOD(MATCH(AS10,Calculs!$T$4:$T$93,1),2)=0,""," ")</f>
        <v/>
      </c>
      <c r="AX10" s="339"/>
      <c r="AY10" s="337" t="str">
        <f t="shared" si="7"/>
        <v>Ma</v>
      </c>
      <c r="AZ10" s="338">
        <f>+AZ8+1</f>
        <v>44411</v>
      </c>
      <c r="BA10" s="344" t="str">
        <f>IF(ISNA(VLOOKUP(AZ10,TAB_FERIES_PURS,4,FALSE)),"",VLOOKUP(AZ10,TAB_FERIES_PURS,4,FALSE))</f>
        <v/>
      </c>
      <c r="BB10" s="338" t="str">
        <f>IF(MOD(MATCH(AZ10,Calculs!$R$4:$R$93,1),2)=0,""," ")</f>
        <v xml:space="preserve"> </v>
      </c>
      <c r="BC10" s="338" t="str">
        <f>IF(MOD(MATCH(AZ10,Calculs!$S$4:$S$93,1),2)=0,""," ")</f>
        <v xml:space="preserve"> </v>
      </c>
      <c r="BD10" s="347" t="str">
        <f>IF(MOD(MATCH(AZ10,Calculs!$T$4:$T$93,1),2)=0,""," ")</f>
        <v xml:space="preserve"> </v>
      </c>
      <c r="BE10" s="339"/>
      <c r="BF10" s="337" t="str">
        <f t="shared" si="8"/>
        <v>Ve</v>
      </c>
      <c r="BG10" s="338">
        <f>+BG8+1</f>
        <v>44442</v>
      </c>
      <c r="BH10" s="344" t="str">
        <f>IF(ISNA(VLOOKUP(BG10,TAB_FERIES_PURS,4,FALSE)),"",VLOOKUP(BG10,TAB_FERIES_PURS,4,FALSE))</f>
        <v/>
      </c>
      <c r="BI10" s="338" t="str">
        <f>IF(MOD(MATCH(BG10,Calculs!$R$4:$R$93,1),2)=0,""," ")</f>
        <v/>
      </c>
      <c r="BJ10" s="338" t="str">
        <f>IF(MOD(MATCH(BG10,Calculs!$S$4:$S$93,1),2)=0,""," ")</f>
        <v/>
      </c>
      <c r="BK10" s="347" t="str">
        <f>IF(MOD(MATCH(BG10,Calculs!$T$4:$T$93,1),2)=0,""," ")</f>
        <v/>
      </c>
      <c r="BL10" s="339"/>
      <c r="BM10" s="337" t="str">
        <f t="shared" si="9"/>
        <v>Di</v>
      </c>
      <c r="BN10" s="338">
        <f>+BN8+1</f>
        <v>44472</v>
      </c>
      <c r="BO10" s="344" t="str">
        <f>IF(ISNA(VLOOKUP(BN10,TAB_FERIES_PURS,4,FALSE)),"",VLOOKUP(BN10,TAB_FERIES_PURS,4,FALSE))</f>
        <v/>
      </c>
      <c r="BP10" s="338" t="str">
        <f>IF(MOD(MATCH(BN10,Calculs!$R$4:$R$93,1),2)=0,""," ")</f>
        <v/>
      </c>
      <c r="BQ10" s="338" t="str">
        <f>IF(MOD(MATCH(BN10,Calculs!$S$4:$S$93,1),2)=0,""," ")</f>
        <v/>
      </c>
      <c r="BR10" s="347" t="str">
        <f>IF(MOD(MATCH(BN10,Calculs!$T$4:$T$93,1),2)=0,""," ")</f>
        <v/>
      </c>
      <c r="BS10" s="339"/>
      <c r="BT10" s="337" t="str">
        <f t="shared" si="10"/>
        <v>Me</v>
      </c>
      <c r="BU10" s="338">
        <f>+BU8+1</f>
        <v>44503</v>
      </c>
      <c r="BV10" s="344" t="str">
        <f>IF(ISNA(VLOOKUP(BU10,TAB_FERIES_PURS,4,FALSE)),"",VLOOKUP(BU10,TAB_FERIES_PURS,4,FALSE))</f>
        <v/>
      </c>
      <c r="BW10" s="338" t="str">
        <f>IF(MOD(MATCH(BU10,Calculs!$R$4:$R$93,1),2)=0,""," ")</f>
        <v/>
      </c>
      <c r="BX10" s="338" t="str">
        <f>IF(MOD(MATCH(BU10,Calculs!$S$4:$S$93,1),2)=0,""," ")</f>
        <v/>
      </c>
      <c r="BY10" s="347" t="str">
        <f>IF(MOD(MATCH(BU10,Calculs!$T$4:$T$93,1),2)=0,""," ")</f>
        <v/>
      </c>
      <c r="BZ10" s="339"/>
      <c r="CA10" s="337" t="str">
        <f t="shared" si="11"/>
        <v>Ve</v>
      </c>
      <c r="CB10" s="338">
        <f>+CB8+1</f>
        <v>44533</v>
      </c>
      <c r="CC10" s="344" t="str">
        <f>IF(ISNA(VLOOKUP(CB10,TAB_FERIES_PURS,4,FALSE)),"",VLOOKUP(CB10,TAB_FERIES_PURS,4,FALSE))</f>
        <v/>
      </c>
      <c r="CD10" s="338" t="str">
        <f>IF(MOD(MATCH(CB10,Calculs!$R$4:$R$93,1),2)=0,""," ")</f>
        <v/>
      </c>
      <c r="CE10" s="338" t="str">
        <f>IF(MOD(MATCH(CB10,Calculs!$S$4:$S$93,1),2)=0,""," ")</f>
        <v/>
      </c>
      <c r="CF10" s="347" t="str">
        <f>IF(MOD(MATCH(CB10,Calculs!$T$4:$T$93,1),2)=0,""," ")</f>
        <v/>
      </c>
      <c r="CG10" s="360"/>
    </row>
    <row r="11" spans="1:85" s="345" customFormat="1" ht="4" customHeight="1" x14ac:dyDescent="0.15">
      <c r="A11" s="359"/>
      <c r="B11" s="337"/>
      <c r="C11" s="338"/>
      <c r="D11" s="340"/>
      <c r="E11" s="339"/>
      <c r="F11" s="339"/>
      <c r="G11" s="347"/>
      <c r="H11" s="339"/>
      <c r="I11" s="337"/>
      <c r="J11" s="338"/>
      <c r="K11" s="340"/>
      <c r="L11" s="339"/>
      <c r="M11" s="339"/>
      <c r="N11" s="347"/>
      <c r="O11" s="339"/>
      <c r="P11" s="337"/>
      <c r="Q11" s="338"/>
      <c r="R11" s="340"/>
      <c r="S11" s="339"/>
      <c r="T11" s="339"/>
      <c r="U11" s="347"/>
      <c r="V11" s="339"/>
      <c r="W11" s="337"/>
      <c r="X11" s="338"/>
      <c r="Y11" s="340"/>
      <c r="Z11" s="339"/>
      <c r="AA11" s="339"/>
      <c r="AB11" s="347"/>
      <c r="AC11" s="339"/>
      <c r="AD11" s="337"/>
      <c r="AE11" s="338"/>
      <c r="AF11" s="340"/>
      <c r="AG11" s="339"/>
      <c r="AH11" s="339"/>
      <c r="AI11" s="347"/>
      <c r="AJ11" s="339"/>
      <c r="AK11" s="337"/>
      <c r="AL11" s="338"/>
      <c r="AM11" s="340"/>
      <c r="AN11" s="339"/>
      <c r="AO11" s="339"/>
      <c r="AP11" s="347"/>
      <c r="AQ11" s="339"/>
      <c r="AR11" s="337"/>
      <c r="AS11" s="338"/>
      <c r="AT11" s="340"/>
      <c r="AU11" s="339"/>
      <c r="AV11" s="339"/>
      <c r="AW11" s="347"/>
      <c r="AX11" s="339"/>
      <c r="AY11" s="337"/>
      <c r="AZ11" s="338"/>
      <c r="BA11" s="340"/>
      <c r="BB11" s="339"/>
      <c r="BC11" s="339"/>
      <c r="BD11" s="347"/>
      <c r="BE11" s="339"/>
      <c r="BF11" s="337"/>
      <c r="BG11" s="338"/>
      <c r="BH11" s="340"/>
      <c r="BI11" s="339"/>
      <c r="BJ11" s="339"/>
      <c r="BK11" s="347"/>
      <c r="BL11" s="339"/>
      <c r="BM11" s="337"/>
      <c r="BN11" s="338"/>
      <c r="BO11" s="340"/>
      <c r="BP11" s="339"/>
      <c r="BQ11" s="339"/>
      <c r="BR11" s="347"/>
      <c r="BS11" s="339"/>
      <c r="BT11" s="337"/>
      <c r="BU11" s="338"/>
      <c r="BV11" s="340"/>
      <c r="BW11" s="339"/>
      <c r="BX11" s="339"/>
      <c r="BY11" s="347"/>
      <c r="BZ11" s="339"/>
      <c r="CA11" s="337"/>
      <c r="CB11" s="338"/>
      <c r="CC11" s="340"/>
      <c r="CD11" s="339"/>
      <c r="CE11" s="339"/>
      <c r="CF11" s="347"/>
      <c r="CG11" s="360"/>
    </row>
    <row r="12" spans="1:85" s="345" customFormat="1" ht="18" customHeight="1" x14ac:dyDescent="0.15">
      <c r="A12" s="359"/>
      <c r="B12" s="337" t="str">
        <f t="shared" si="0"/>
        <v>Lu</v>
      </c>
      <c r="C12" s="338">
        <f>+C10+1</f>
        <v>44200</v>
      </c>
      <c r="D12" s="344" t="str">
        <f>IF(ISNA(VLOOKUP(C12,TAB_FERIES_PURS,4,FALSE)),"",VLOOKUP(C12,TAB_FERIES_PURS,4,FALSE))</f>
        <v/>
      </c>
      <c r="E12" s="338" t="str">
        <f>IF(MOD(MATCH(C12,Calculs!$R$4:$R$93,1),2)=0,""," ")</f>
        <v/>
      </c>
      <c r="F12" s="338" t="str">
        <f>IF(MOD(MATCH(C12,Calculs!$S$4:$S$93,1),2)=0,""," ")</f>
        <v/>
      </c>
      <c r="G12" s="347" t="str">
        <f>IF(MOD(MATCH(C12,Calculs!$T$4:$T$93,1),2)=0,""," ")</f>
        <v/>
      </c>
      <c r="H12" s="339"/>
      <c r="I12" s="337" t="str">
        <f t="shared" si="1"/>
        <v>Je</v>
      </c>
      <c r="J12" s="338">
        <f>+J10+1</f>
        <v>44231</v>
      </c>
      <c r="K12" s="344" t="str">
        <f>IF(ISNA(VLOOKUP(J12,TAB_FERIES_PURS,4,FALSE)),"",VLOOKUP(J12,TAB_FERIES_PURS,4,FALSE))</f>
        <v/>
      </c>
      <c r="L12" s="338" t="str">
        <f>IF(MOD(MATCH(J12,Calculs!$R$4:$R$93,1),2)=0,""," ")</f>
        <v/>
      </c>
      <c r="M12" s="338" t="str">
        <f>IF(MOD(MATCH(J12,Calculs!$S$4:$S$93,1),2)=0,""," ")</f>
        <v/>
      </c>
      <c r="N12" s="347" t="str">
        <f>IF(MOD(MATCH(J12,Calculs!$T$4:$T$93,1),2)=0,""," ")</f>
        <v/>
      </c>
      <c r="O12" s="339"/>
      <c r="P12" s="337" t="str">
        <f t="shared" si="2"/>
        <v>Je</v>
      </c>
      <c r="Q12" s="338">
        <f>+Q10+1</f>
        <v>44259</v>
      </c>
      <c r="R12" s="344" t="str">
        <f>IF(ISNA(VLOOKUP(Q12,TAB_FERIES_PURS,4,FALSE)),"",VLOOKUP(Q12,TAB_FERIES_PURS,4,FALSE))</f>
        <v/>
      </c>
      <c r="S12" s="338" t="str">
        <f>IF(MOD(MATCH(Q12,Calculs!$R$4:$R$93,1),2)=0,""," ")</f>
        <v/>
      </c>
      <c r="T12" s="338" t="str">
        <f>IF(MOD(MATCH(Q12,Calculs!$S$4:$S$93,1),2)=0,""," ")</f>
        <v xml:space="preserve"> </v>
      </c>
      <c r="U12" s="347" t="str">
        <f>IF(MOD(MATCH(Q12,Calculs!$T$4:$T$93,1),2)=0,""," ")</f>
        <v/>
      </c>
      <c r="V12" s="339"/>
      <c r="W12" s="337" t="str">
        <f t="shared" si="3"/>
        <v>Di</v>
      </c>
      <c r="X12" s="338">
        <f>+X10+1</f>
        <v>44290</v>
      </c>
      <c r="Y12" s="344" t="str">
        <f>IF(ISNA(VLOOKUP(X12,TAB_FERIES_PURS,4,FALSE)),"",VLOOKUP(X12,TAB_FERIES_PURS,4,FALSE))</f>
        <v>F</v>
      </c>
      <c r="Z12" s="338" t="str">
        <f>IF(MOD(MATCH(X12,Calculs!$R$4:$R$93,1),2)=0,""," ")</f>
        <v/>
      </c>
      <c r="AA12" s="338" t="str">
        <f>IF(MOD(MATCH(X12,Calculs!$S$4:$S$93,1),2)=0,""," ")</f>
        <v/>
      </c>
      <c r="AB12" s="347" t="str">
        <f>IF(MOD(MATCH(X12,Calculs!$T$4:$T$93,1),2)=0,""," ")</f>
        <v/>
      </c>
      <c r="AC12" s="339"/>
      <c r="AD12" s="337" t="str">
        <f t="shared" si="4"/>
        <v>Ma</v>
      </c>
      <c r="AE12" s="338">
        <f>+AE10+1</f>
        <v>44320</v>
      </c>
      <c r="AF12" s="344" t="str">
        <f>IF(ISNA(VLOOKUP(AE12,TAB_FERIES_PURS,4,FALSE)),"",VLOOKUP(AE12,TAB_FERIES_PURS,4,FALSE))</f>
        <v/>
      </c>
      <c r="AG12" s="338" t="str">
        <f>IF(MOD(MATCH(AE12,Calculs!$R$4:$R$93,1),2)=0,""," ")</f>
        <v/>
      </c>
      <c r="AH12" s="338" t="str">
        <f>IF(MOD(MATCH(AE12,Calculs!$S$4:$S$93,1),2)=0,""," ")</f>
        <v xml:space="preserve"> </v>
      </c>
      <c r="AI12" s="347" t="str">
        <f>IF(MOD(MATCH(AE12,Calculs!$T$4:$T$93,1),2)=0,""," ")</f>
        <v/>
      </c>
      <c r="AJ12" s="339"/>
      <c r="AK12" s="337" t="str">
        <f t="shared" si="5"/>
        <v>Ve</v>
      </c>
      <c r="AL12" s="338">
        <f>+AL10+1</f>
        <v>44351</v>
      </c>
      <c r="AM12" s="344" t="str">
        <f>IF(ISNA(VLOOKUP(AL12,TAB_FERIES_PURS,4,FALSE)),"",VLOOKUP(AL12,TAB_FERIES_PURS,4,FALSE))</f>
        <v/>
      </c>
      <c r="AN12" s="338" t="str">
        <f>IF(MOD(MATCH(AL12,Calculs!$R$4:$R$93,1),2)=0,""," ")</f>
        <v/>
      </c>
      <c r="AO12" s="338" t="str">
        <f>IF(MOD(MATCH(AL12,Calculs!$S$4:$S$93,1),2)=0,""," ")</f>
        <v/>
      </c>
      <c r="AP12" s="347" t="str">
        <f>IF(MOD(MATCH(AL12,Calculs!$T$4:$T$93,1),2)=0,""," ")</f>
        <v/>
      </c>
      <c r="AQ12" s="339"/>
      <c r="AR12" s="337" t="str">
        <f t="shared" si="6"/>
        <v>Di</v>
      </c>
      <c r="AS12" s="338">
        <f>+AS10+1</f>
        <v>44381</v>
      </c>
      <c r="AT12" s="344" t="str">
        <f>IF(ISNA(VLOOKUP(AS12,TAB_FERIES_PURS,4,FALSE)),"",VLOOKUP(AS12,TAB_FERIES_PURS,4,FALSE))</f>
        <v/>
      </c>
      <c r="AU12" s="338" t="str">
        <f>IF(MOD(MATCH(AS12,Calculs!$R$4:$R$93,1),2)=0,""," ")</f>
        <v/>
      </c>
      <c r="AV12" s="338" t="str">
        <f>IF(MOD(MATCH(AS12,Calculs!$S$4:$S$93,1),2)=0,""," ")</f>
        <v/>
      </c>
      <c r="AW12" s="347" t="str">
        <f>IF(MOD(MATCH(AS12,Calculs!$T$4:$T$93,1),2)=0,""," ")</f>
        <v/>
      </c>
      <c r="AX12" s="339"/>
      <c r="AY12" s="337" t="str">
        <f t="shared" si="7"/>
        <v>Me</v>
      </c>
      <c r="AZ12" s="338">
        <f>+AZ10+1</f>
        <v>44412</v>
      </c>
      <c r="BA12" s="344" t="str">
        <f>IF(ISNA(VLOOKUP(AZ12,TAB_FERIES_PURS,4,FALSE)),"",VLOOKUP(AZ12,TAB_FERIES_PURS,4,FALSE))</f>
        <v/>
      </c>
      <c r="BB12" s="338" t="str">
        <f>IF(MOD(MATCH(AZ12,Calculs!$R$4:$R$93,1),2)=0,""," ")</f>
        <v xml:space="preserve"> </v>
      </c>
      <c r="BC12" s="338" t="str">
        <f>IF(MOD(MATCH(AZ12,Calculs!$S$4:$S$93,1),2)=0,""," ")</f>
        <v xml:space="preserve"> </v>
      </c>
      <c r="BD12" s="347" t="str">
        <f>IF(MOD(MATCH(AZ12,Calculs!$T$4:$T$93,1),2)=0,""," ")</f>
        <v xml:space="preserve"> </v>
      </c>
      <c r="BE12" s="339"/>
      <c r="BF12" s="337" t="str">
        <f t="shared" si="8"/>
        <v>Sa</v>
      </c>
      <c r="BG12" s="338">
        <f>+BG10+1</f>
        <v>44443</v>
      </c>
      <c r="BH12" s="344" t="str">
        <f>IF(ISNA(VLOOKUP(BG12,TAB_FERIES_PURS,4,FALSE)),"",VLOOKUP(BG12,TAB_FERIES_PURS,4,FALSE))</f>
        <v/>
      </c>
      <c r="BI12" s="338" t="str">
        <f>IF(MOD(MATCH(BG12,Calculs!$R$4:$R$93,1),2)=0,""," ")</f>
        <v/>
      </c>
      <c r="BJ12" s="338" t="str">
        <f>IF(MOD(MATCH(BG12,Calculs!$S$4:$S$93,1),2)=0,""," ")</f>
        <v/>
      </c>
      <c r="BK12" s="347" t="str">
        <f>IF(MOD(MATCH(BG12,Calculs!$T$4:$T$93,1),2)=0,""," ")</f>
        <v/>
      </c>
      <c r="BL12" s="339"/>
      <c r="BM12" s="337" t="str">
        <f t="shared" si="9"/>
        <v>Lu</v>
      </c>
      <c r="BN12" s="338">
        <f>+BN10+1</f>
        <v>44473</v>
      </c>
      <c r="BO12" s="344" t="str">
        <f>IF(ISNA(VLOOKUP(BN12,TAB_FERIES_PURS,4,FALSE)),"",VLOOKUP(BN12,TAB_FERIES_PURS,4,FALSE))</f>
        <v/>
      </c>
      <c r="BP12" s="338" t="str">
        <f>IF(MOD(MATCH(BN12,Calculs!$R$4:$R$93,1),2)=0,""," ")</f>
        <v/>
      </c>
      <c r="BQ12" s="338" t="str">
        <f>IF(MOD(MATCH(BN12,Calculs!$S$4:$S$93,1),2)=0,""," ")</f>
        <v/>
      </c>
      <c r="BR12" s="347" t="str">
        <f>IF(MOD(MATCH(BN12,Calculs!$T$4:$T$93,1),2)=0,""," ")</f>
        <v/>
      </c>
      <c r="BS12" s="339"/>
      <c r="BT12" s="337" t="str">
        <f t="shared" si="10"/>
        <v>Je</v>
      </c>
      <c r="BU12" s="338">
        <f>+BU10+1</f>
        <v>44504</v>
      </c>
      <c r="BV12" s="344" t="str">
        <f>IF(ISNA(VLOOKUP(BU12,TAB_FERIES_PURS,4,FALSE)),"",VLOOKUP(BU12,TAB_FERIES_PURS,4,FALSE))</f>
        <v/>
      </c>
      <c r="BW12" s="338" t="str">
        <f>IF(MOD(MATCH(BU12,Calculs!$R$4:$R$93,1),2)=0,""," ")</f>
        <v/>
      </c>
      <c r="BX12" s="338" t="str">
        <f>IF(MOD(MATCH(BU12,Calculs!$S$4:$S$93,1),2)=0,""," ")</f>
        <v/>
      </c>
      <c r="BY12" s="347" t="str">
        <f>IF(MOD(MATCH(BU12,Calculs!$T$4:$T$93,1),2)=0,""," ")</f>
        <v/>
      </c>
      <c r="BZ12" s="339"/>
      <c r="CA12" s="337" t="str">
        <f t="shared" si="11"/>
        <v>Sa</v>
      </c>
      <c r="CB12" s="338">
        <f>+CB10+1</f>
        <v>44534</v>
      </c>
      <c r="CC12" s="344" t="str">
        <f>IF(ISNA(VLOOKUP(CB12,TAB_FERIES_PURS,4,FALSE)),"",VLOOKUP(CB12,TAB_FERIES_PURS,4,FALSE))</f>
        <v/>
      </c>
      <c r="CD12" s="338" t="str">
        <f>IF(MOD(MATCH(CB12,Calculs!$R$4:$R$93,1),2)=0,""," ")</f>
        <v/>
      </c>
      <c r="CE12" s="338" t="str">
        <f>IF(MOD(MATCH(CB12,Calculs!$S$4:$S$93,1),2)=0,""," ")</f>
        <v/>
      </c>
      <c r="CF12" s="347" t="str">
        <f>IF(MOD(MATCH(CB12,Calculs!$T$4:$T$93,1),2)=0,""," ")</f>
        <v/>
      </c>
      <c r="CG12" s="360"/>
    </row>
    <row r="13" spans="1:85" s="345" customFormat="1" ht="4" customHeight="1" x14ac:dyDescent="0.15">
      <c r="A13" s="359"/>
      <c r="B13" s="337"/>
      <c r="C13" s="338"/>
      <c r="D13" s="340"/>
      <c r="E13" s="339"/>
      <c r="F13" s="339"/>
      <c r="G13" s="347"/>
      <c r="H13" s="339"/>
      <c r="I13" s="337"/>
      <c r="J13" s="338"/>
      <c r="K13" s="340"/>
      <c r="L13" s="339"/>
      <c r="M13" s="339"/>
      <c r="N13" s="347"/>
      <c r="O13" s="339"/>
      <c r="P13" s="337"/>
      <c r="Q13" s="338"/>
      <c r="R13" s="340"/>
      <c r="S13" s="339"/>
      <c r="T13" s="339"/>
      <c r="U13" s="347"/>
      <c r="V13" s="339"/>
      <c r="W13" s="337"/>
      <c r="X13" s="338"/>
      <c r="Y13" s="340"/>
      <c r="Z13" s="339"/>
      <c r="AA13" s="339"/>
      <c r="AB13" s="347"/>
      <c r="AC13" s="339"/>
      <c r="AD13" s="337"/>
      <c r="AE13" s="338"/>
      <c r="AF13" s="340"/>
      <c r="AG13" s="339"/>
      <c r="AH13" s="339"/>
      <c r="AI13" s="347"/>
      <c r="AJ13" s="339"/>
      <c r="AK13" s="337"/>
      <c r="AL13" s="338"/>
      <c r="AM13" s="340"/>
      <c r="AN13" s="339"/>
      <c r="AO13" s="339"/>
      <c r="AP13" s="347"/>
      <c r="AQ13" s="339"/>
      <c r="AR13" s="337"/>
      <c r="AS13" s="338"/>
      <c r="AT13" s="340"/>
      <c r="AU13" s="339"/>
      <c r="AV13" s="339"/>
      <c r="AW13" s="347"/>
      <c r="AX13" s="339"/>
      <c r="AY13" s="337"/>
      <c r="AZ13" s="338"/>
      <c r="BA13" s="340"/>
      <c r="BB13" s="339"/>
      <c r="BC13" s="339"/>
      <c r="BD13" s="347"/>
      <c r="BE13" s="339"/>
      <c r="BF13" s="337"/>
      <c r="BG13" s="338"/>
      <c r="BH13" s="340"/>
      <c r="BI13" s="339"/>
      <c r="BJ13" s="339"/>
      <c r="BK13" s="347"/>
      <c r="BL13" s="339"/>
      <c r="BM13" s="337"/>
      <c r="BN13" s="338"/>
      <c r="BO13" s="340"/>
      <c r="BP13" s="339"/>
      <c r="BQ13" s="339"/>
      <c r="BR13" s="347"/>
      <c r="BS13" s="339"/>
      <c r="BT13" s="337"/>
      <c r="BU13" s="338"/>
      <c r="BV13" s="340"/>
      <c r="BW13" s="339"/>
      <c r="BX13" s="339"/>
      <c r="BY13" s="347"/>
      <c r="BZ13" s="339"/>
      <c r="CA13" s="337"/>
      <c r="CB13" s="338"/>
      <c r="CC13" s="340"/>
      <c r="CD13" s="339"/>
      <c r="CE13" s="339"/>
      <c r="CF13" s="347"/>
      <c r="CG13" s="360"/>
    </row>
    <row r="14" spans="1:85" s="345" customFormat="1" ht="18" customHeight="1" x14ac:dyDescent="0.15">
      <c r="A14" s="359"/>
      <c r="B14" s="337" t="str">
        <f t="shared" si="0"/>
        <v>Ma</v>
      </c>
      <c r="C14" s="338">
        <f>+C12+1</f>
        <v>44201</v>
      </c>
      <c r="D14" s="344" t="str">
        <f>IF(ISNA(VLOOKUP(C14,TAB_FERIES_PURS,4,FALSE)),"",VLOOKUP(C14,TAB_FERIES_PURS,4,FALSE))</f>
        <v/>
      </c>
      <c r="E14" s="338" t="str">
        <f>IF(MOD(MATCH(C14,Calculs!$R$4:$R$93,1),2)=0,""," ")</f>
        <v/>
      </c>
      <c r="F14" s="338" t="str">
        <f>IF(MOD(MATCH(C14,Calculs!$S$4:$S$93,1),2)=0,""," ")</f>
        <v/>
      </c>
      <c r="G14" s="347" t="str">
        <f>IF(MOD(MATCH(C14,Calculs!$T$4:$T$93,1),2)=0,""," ")</f>
        <v/>
      </c>
      <c r="H14" s="339"/>
      <c r="I14" s="337" t="str">
        <f t="shared" si="1"/>
        <v>Ve</v>
      </c>
      <c r="J14" s="338">
        <f>+J12+1</f>
        <v>44232</v>
      </c>
      <c r="K14" s="344" t="str">
        <f>IF(ISNA(VLOOKUP(J14,TAB_FERIES_PURS,4,FALSE)),"",VLOOKUP(J14,TAB_FERIES_PURS,4,FALSE))</f>
        <v/>
      </c>
      <c r="L14" s="338" t="str">
        <f>IF(MOD(MATCH(J14,Calculs!$R$4:$R$93,1),2)=0,""," ")</f>
        <v/>
      </c>
      <c r="M14" s="338" t="str">
        <f>IF(MOD(MATCH(J14,Calculs!$S$4:$S$93,1),2)=0,""," ")</f>
        <v/>
      </c>
      <c r="N14" s="347" t="str">
        <f>IF(MOD(MATCH(J14,Calculs!$T$4:$T$93,1),2)=0,""," ")</f>
        <v/>
      </c>
      <c r="O14" s="339"/>
      <c r="P14" s="337" t="str">
        <f t="shared" si="2"/>
        <v>Ve</v>
      </c>
      <c r="Q14" s="338">
        <f>+Q12+1</f>
        <v>44260</v>
      </c>
      <c r="R14" s="344" t="str">
        <f>IF(ISNA(VLOOKUP(Q14,TAB_FERIES_PURS,4,FALSE)),"",VLOOKUP(Q14,TAB_FERIES_PURS,4,FALSE))</f>
        <v/>
      </c>
      <c r="S14" s="338" t="str">
        <f>IF(MOD(MATCH(Q14,Calculs!$R$4:$R$93,1),2)=0,""," ")</f>
        <v/>
      </c>
      <c r="T14" s="338" t="str">
        <f>IF(MOD(MATCH(Q14,Calculs!$S$4:$S$93,1),2)=0,""," ")</f>
        <v xml:space="preserve"> </v>
      </c>
      <c r="U14" s="347" t="str">
        <f>IF(MOD(MATCH(Q14,Calculs!$T$4:$T$93,1),2)=0,""," ")</f>
        <v/>
      </c>
      <c r="V14" s="339"/>
      <c r="W14" s="337" t="str">
        <f t="shared" si="3"/>
        <v>Lu</v>
      </c>
      <c r="X14" s="338">
        <f>+X12+1</f>
        <v>44291</v>
      </c>
      <c r="Y14" s="344" t="str">
        <f>IF(ISNA(VLOOKUP(X14,TAB_FERIES_PURS,4,FALSE)),"",VLOOKUP(X14,TAB_FERIES_PURS,4,FALSE))</f>
        <v>F</v>
      </c>
      <c r="Z14" s="338" t="str">
        <f>IF(MOD(MATCH(X14,Calculs!$R$4:$R$93,1),2)=0,""," ")</f>
        <v/>
      </c>
      <c r="AA14" s="338" t="str">
        <f>IF(MOD(MATCH(X14,Calculs!$S$4:$S$93,1),2)=0,""," ")</f>
        <v/>
      </c>
      <c r="AB14" s="347" t="str">
        <f>IF(MOD(MATCH(X14,Calculs!$T$4:$T$93,1),2)=0,""," ")</f>
        <v/>
      </c>
      <c r="AC14" s="339"/>
      <c r="AD14" s="337" t="str">
        <f t="shared" si="4"/>
        <v>Me</v>
      </c>
      <c r="AE14" s="338">
        <f>+AE12+1</f>
        <v>44321</v>
      </c>
      <c r="AF14" s="344" t="str">
        <f>IF(ISNA(VLOOKUP(AE14,TAB_FERIES_PURS,4,FALSE)),"",VLOOKUP(AE14,TAB_FERIES_PURS,4,FALSE))</f>
        <v/>
      </c>
      <c r="AG14" s="338" t="str">
        <f>IF(MOD(MATCH(AE14,Calculs!$R$4:$R$93,1),2)=0,""," ")</f>
        <v/>
      </c>
      <c r="AH14" s="338" t="str">
        <f>IF(MOD(MATCH(AE14,Calculs!$S$4:$S$93,1),2)=0,""," ")</f>
        <v xml:space="preserve"> </v>
      </c>
      <c r="AI14" s="347" t="str">
        <f>IF(MOD(MATCH(AE14,Calculs!$T$4:$T$93,1),2)=0,""," ")</f>
        <v/>
      </c>
      <c r="AJ14" s="339"/>
      <c r="AK14" s="337" t="str">
        <f t="shared" si="5"/>
        <v>Sa</v>
      </c>
      <c r="AL14" s="338">
        <f>+AL12+1</f>
        <v>44352</v>
      </c>
      <c r="AM14" s="344" t="str">
        <f>IF(ISNA(VLOOKUP(AL14,TAB_FERIES_PURS,4,FALSE)),"",VLOOKUP(AL14,TAB_FERIES_PURS,4,FALSE))</f>
        <v/>
      </c>
      <c r="AN14" s="338" t="str">
        <f>IF(MOD(MATCH(AL14,Calculs!$R$4:$R$93,1),2)=0,""," ")</f>
        <v/>
      </c>
      <c r="AO14" s="338" t="str">
        <f>IF(MOD(MATCH(AL14,Calculs!$S$4:$S$93,1),2)=0,""," ")</f>
        <v/>
      </c>
      <c r="AP14" s="347" t="str">
        <f>IF(MOD(MATCH(AL14,Calculs!$T$4:$T$93,1),2)=0,""," ")</f>
        <v/>
      </c>
      <c r="AQ14" s="339"/>
      <c r="AR14" s="337" t="str">
        <f t="shared" si="6"/>
        <v>Lu</v>
      </c>
      <c r="AS14" s="338">
        <f>+AS12+1</f>
        <v>44382</v>
      </c>
      <c r="AT14" s="344" t="str">
        <f>IF(ISNA(VLOOKUP(AS14,TAB_FERIES_PURS,4,FALSE)),"",VLOOKUP(AS14,TAB_FERIES_PURS,4,FALSE))</f>
        <v/>
      </c>
      <c r="AU14" s="338" t="str">
        <f>IF(MOD(MATCH(AS14,Calculs!$R$4:$R$93,1),2)=0,""," ")</f>
        <v/>
      </c>
      <c r="AV14" s="338" t="str">
        <f>IF(MOD(MATCH(AS14,Calculs!$S$4:$S$93,1),2)=0,""," ")</f>
        <v/>
      </c>
      <c r="AW14" s="347" t="str">
        <f>IF(MOD(MATCH(AS14,Calculs!$T$4:$T$93,1),2)=0,""," ")</f>
        <v/>
      </c>
      <c r="AX14" s="339"/>
      <c r="AY14" s="337" t="str">
        <f t="shared" si="7"/>
        <v>Je</v>
      </c>
      <c r="AZ14" s="338">
        <f>+AZ12+1</f>
        <v>44413</v>
      </c>
      <c r="BA14" s="344" t="str">
        <f>IF(ISNA(VLOOKUP(AZ14,TAB_FERIES_PURS,4,FALSE)),"",VLOOKUP(AZ14,TAB_FERIES_PURS,4,FALSE))</f>
        <v/>
      </c>
      <c r="BB14" s="338" t="str">
        <f>IF(MOD(MATCH(AZ14,Calculs!$R$4:$R$93,1),2)=0,""," ")</f>
        <v xml:space="preserve"> </v>
      </c>
      <c r="BC14" s="338" t="str">
        <f>IF(MOD(MATCH(AZ14,Calculs!$S$4:$S$93,1),2)=0,""," ")</f>
        <v xml:space="preserve"> </v>
      </c>
      <c r="BD14" s="347" t="str">
        <f>IF(MOD(MATCH(AZ14,Calculs!$T$4:$T$93,1),2)=0,""," ")</f>
        <v xml:space="preserve"> </v>
      </c>
      <c r="BE14" s="339"/>
      <c r="BF14" s="337" t="str">
        <f t="shared" si="8"/>
        <v>Di</v>
      </c>
      <c r="BG14" s="338">
        <f>+BG12+1</f>
        <v>44444</v>
      </c>
      <c r="BH14" s="344" t="str">
        <f>IF(ISNA(VLOOKUP(BG14,TAB_FERIES_PURS,4,FALSE)),"",VLOOKUP(BG14,TAB_FERIES_PURS,4,FALSE))</f>
        <v/>
      </c>
      <c r="BI14" s="338" t="str">
        <f>IF(MOD(MATCH(BG14,Calculs!$R$4:$R$93,1),2)=0,""," ")</f>
        <v/>
      </c>
      <c r="BJ14" s="338" t="str">
        <f>IF(MOD(MATCH(BG14,Calculs!$S$4:$S$93,1),2)=0,""," ")</f>
        <v/>
      </c>
      <c r="BK14" s="347" t="str">
        <f>IF(MOD(MATCH(BG14,Calculs!$T$4:$T$93,1),2)=0,""," ")</f>
        <v/>
      </c>
      <c r="BL14" s="339"/>
      <c r="BM14" s="337" t="str">
        <f t="shared" si="9"/>
        <v>Ma</v>
      </c>
      <c r="BN14" s="338">
        <f>+BN12+1</f>
        <v>44474</v>
      </c>
      <c r="BO14" s="344" t="str">
        <f>IF(ISNA(VLOOKUP(BN14,TAB_FERIES_PURS,4,FALSE)),"",VLOOKUP(BN14,TAB_FERIES_PURS,4,FALSE))</f>
        <v/>
      </c>
      <c r="BP14" s="338" t="str">
        <f>IF(MOD(MATCH(BN14,Calculs!$R$4:$R$93,1),2)=0,""," ")</f>
        <v/>
      </c>
      <c r="BQ14" s="338" t="str">
        <f>IF(MOD(MATCH(BN14,Calculs!$S$4:$S$93,1),2)=0,""," ")</f>
        <v/>
      </c>
      <c r="BR14" s="347" t="str">
        <f>IF(MOD(MATCH(BN14,Calculs!$T$4:$T$93,1),2)=0,""," ")</f>
        <v/>
      </c>
      <c r="BS14" s="339"/>
      <c r="BT14" s="337" t="str">
        <f t="shared" si="10"/>
        <v>Ve</v>
      </c>
      <c r="BU14" s="338">
        <f>+BU12+1</f>
        <v>44505</v>
      </c>
      <c r="BV14" s="344" t="str">
        <f>IF(ISNA(VLOOKUP(BU14,TAB_FERIES_PURS,4,FALSE)),"",VLOOKUP(BU14,TAB_FERIES_PURS,4,FALSE))</f>
        <v/>
      </c>
      <c r="BW14" s="338" t="str">
        <f>IF(MOD(MATCH(BU14,Calculs!$R$4:$R$93,1),2)=0,""," ")</f>
        <v/>
      </c>
      <c r="BX14" s="338" t="str">
        <f>IF(MOD(MATCH(BU14,Calculs!$S$4:$S$93,1),2)=0,""," ")</f>
        <v/>
      </c>
      <c r="BY14" s="347" t="str">
        <f>IF(MOD(MATCH(BU14,Calculs!$T$4:$T$93,1),2)=0,""," ")</f>
        <v/>
      </c>
      <c r="BZ14" s="339"/>
      <c r="CA14" s="337" t="str">
        <f t="shared" si="11"/>
        <v>Di</v>
      </c>
      <c r="CB14" s="338">
        <f>+CB12+1</f>
        <v>44535</v>
      </c>
      <c r="CC14" s="344" t="str">
        <f>IF(ISNA(VLOOKUP(CB14,TAB_FERIES_PURS,4,FALSE)),"",VLOOKUP(CB14,TAB_FERIES_PURS,4,FALSE))</f>
        <v/>
      </c>
      <c r="CD14" s="338" t="str">
        <f>IF(MOD(MATCH(CB14,Calculs!$R$4:$R$93,1),2)=0,""," ")</f>
        <v/>
      </c>
      <c r="CE14" s="338" t="str">
        <f>IF(MOD(MATCH(CB14,Calculs!$S$4:$S$93,1),2)=0,""," ")</f>
        <v/>
      </c>
      <c r="CF14" s="347" t="str">
        <f>IF(MOD(MATCH(CB14,Calculs!$T$4:$T$93,1),2)=0,""," ")</f>
        <v/>
      </c>
      <c r="CG14" s="360"/>
    </row>
    <row r="15" spans="1:85" s="345" customFormat="1" ht="4" customHeight="1" x14ac:dyDescent="0.15">
      <c r="A15" s="359"/>
      <c r="B15" s="337"/>
      <c r="C15" s="338"/>
      <c r="D15" s="340"/>
      <c r="E15" s="339"/>
      <c r="F15" s="339"/>
      <c r="G15" s="347"/>
      <c r="H15" s="339"/>
      <c r="I15" s="337"/>
      <c r="J15" s="338"/>
      <c r="K15" s="340"/>
      <c r="L15" s="339"/>
      <c r="M15" s="339"/>
      <c r="N15" s="347"/>
      <c r="O15" s="339"/>
      <c r="P15" s="337"/>
      <c r="Q15" s="338"/>
      <c r="R15" s="340"/>
      <c r="S15" s="339"/>
      <c r="T15" s="339"/>
      <c r="U15" s="347"/>
      <c r="V15" s="339"/>
      <c r="W15" s="337"/>
      <c r="X15" s="338"/>
      <c r="Y15" s="340"/>
      <c r="Z15" s="339"/>
      <c r="AA15" s="339"/>
      <c r="AB15" s="347"/>
      <c r="AC15" s="339"/>
      <c r="AD15" s="337"/>
      <c r="AE15" s="338"/>
      <c r="AF15" s="340"/>
      <c r="AG15" s="339"/>
      <c r="AH15" s="339"/>
      <c r="AI15" s="347"/>
      <c r="AJ15" s="339"/>
      <c r="AK15" s="337"/>
      <c r="AL15" s="338"/>
      <c r="AM15" s="340"/>
      <c r="AN15" s="339"/>
      <c r="AO15" s="339"/>
      <c r="AP15" s="347"/>
      <c r="AQ15" s="339"/>
      <c r="AR15" s="337"/>
      <c r="AS15" s="338"/>
      <c r="AT15" s="340"/>
      <c r="AU15" s="339"/>
      <c r="AV15" s="339"/>
      <c r="AW15" s="347"/>
      <c r="AX15" s="339"/>
      <c r="AY15" s="337"/>
      <c r="AZ15" s="338"/>
      <c r="BA15" s="340"/>
      <c r="BB15" s="339"/>
      <c r="BC15" s="339"/>
      <c r="BD15" s="347"/>
      <c r="BE15" s="339"/>
      <c r="BF15" s="337"/>
      <c r="BG15" s="338"/>
      <c r="BH15" s="340"/>
      <c r="BI15" s="339"/>
      <c r="BJ15" s="339"/>
      <c r="BK15" s="347"/>
      <c r="BL15" s="339"/>
      <c r="BM15" s="337"/>
      <c r="BN15" s="338"/>
      <c r="BO15" s="340"/>
      <c r="BP15" s="339"/>
      <c r="BQ15" s="339"/>
      <c r="BR15" s="347"/>
      <c r="BS15" s="339"/>
      <c r="BT15" s="337"/>
      <c r="BU15" s="338"/>
      <c r="BV15" s="340"/>
      <c r="BW15" s="339"/>
      <c r="BX15" s="339"/>
      <c r="BY15" s="347"/>
      <c r="BZ15" s="339"/>
      <c r="CA15" s="337"/>
      <c r="CB15" s="338"/>
      <c r="CC15" s="340"/>
      <c r="CD15" s="339"/>
      <c r="CE15" s="339"/>
      <c r="CF15" s="347"/>
      <c r="CG15" s="360"/>
    </row>
    <row r="16" spans="1:85" s="345" customFormat="1" ht="18" customHeight="1" x14ac:dyDescent="0.15">
      <c r="A16" s="359"/>
      <c r="B16" s="337" t="str">
        <f t="shared" si="0"/>
        <v>Me</v>
      </c>
      <c r="C16" s="338">
        <f>+C14+1</f>
        <v>44202</v>
      </c>
      <c r="D16" s="344" t="str">
        <f>IF(ISNA(VLOOKUP(C16,TAB_FERIES_PURS,4,FALSE)),"",VLOOKUP(C16,TAB_FERIES_PURS,4,FALSE))</f>
        <v/>
      </c>
      <c r="E16" s="338" t="str">
        <f>IF(MOD(MATCH(C16,Calculs!$R$4:$R$93,1),2)=0,""," ")</f>
        <v/>
      </c>
      <c r="F16" s="338" t="str">
        <f>IF(MOD(MATCH(C16,Calculs!$S$4:$S$93,1),2)=0,""," ")</f>
        <v/>
      </c>
      <c r="G16" s="347" t="str">
        <f>IF(MOD(MATCH(C16,Calculs!$T$4:$T$93,1),2)=0,""," ")</f>
        <v/>
      </c>
      <c r="H16" s="339"/>
      <c r="I16" s="337" t="str">
        <f t="shared" si="1"/>
        <v>Sa</v>
      </c>
      <c r="J16" s="338">
        <f>+J14+1</f>
        <v>44233</v>
      </c>
      <c r="K16" s="344" t="str">
        <f>IF(ISNA(VLOOKUP(J16,TAB_FERIES_PURS,4,FALSE)),"",VLOOKUP(J16,TAB_FERIES_PURS,4,FALSE))</f>
        <v/>
      </c>
      <c r="L16" s="338" t="str">
        <f>IF(MOD(MATCH(J16,Calculs!$R$4:$R$93,1),2)=0,""," ")</f>
        <v xml:space="preserve"> </v>
      </c>
      <c r="M16" s="338" t="str">
        <f>IF(MOD(MATCH(J16,Calculs!$S$4:$S$93,1),2)=0,""," ")</f>
        <v/>
      </c>
      <c r="N16" s="347" t="str">
        <f>IF(MOD(MATCH(J16,Calculs!$T$4:$T$93,1),2)=0,""," ")</f>
        <v/>
      </c>
      <c r="O16" s="339"/>
      <c r="P16" s="337" t="str">
        <f t="shared" si="2"/>
        <v>Sa</v>
      </c>
      <c r="Q16" s="338">
        <f>+Q14+1</f>
        <v>44261</v>
      </c>
      <c r="R16" s="344" t="str">
        <f>IF(ISNA(VLOOKUP(Q16,TAB_FERIES_PURS,4,FALSE)),"",VLOOKUP(Q16,TAB_FERIES_PURS,4,FALSE))</f>
        <v/>
      </c>
      <c r="S16" s="338" t="str">
        <f>IF(MOD(MATCH(Q16,Calculs!$R$4:$R$93,1),2)=0,""," ")</f>
        <v/>
      </c>
      <c r="T16" s="338" t="str">
        <f>IF(MOD(MATCH(Q16,Calculs!$S$4:$S$93,1),2)=0,""," ")</f>
        <v xml:space="preserve"> </v>
      </c>
      <c r="U16" s="347" t="str">
        <f>IF(MOD(MATCH(Q16,Calculs!$T$4:$T$93,1),2)=0,""," ")</f>
        <v/>
      </c>
      <c r="V16" s="339"/>
      <c r="W16" s="337" t="str">
        <f t="shared" si="3"/>
        <v>Ma</v>
      </c>
      <c r="X16" s="338">
        <f>+X14+1</f>
        <v>44292</v>
      </c>
      <c r="Y16" s="344" t="str">
        <f>IF(ISNA(VLOOKUP(X16,TAB_FERIES_PURS,4,FALSE)),"",VLOOKUP(X16,TAB_FERIES_PURS,4,FALSE))</f>
        <v/>
      </c>
      <c r="Z16" s="338" t="str">
        <f>IF(MOD(MATCH(X16,Calculs!$R$4:$R$93,1),2)=0,""," ")</f>
        <v/>
      </c>
      <c r="AA16" s="338" t="str">
        <f>IF(MOD(MATCH(X16,Calculs!$S$4:$S$93,1),2)=0,""," ")</f>
        <v/>
      </c>
      <c r="AB16" s="347" t="str">
        <f>IF(MOD(MATCH(X16,Calculs!$T$4:$T$93,1),2)=0,""," ")</f>
        <v/>
      </c>
      <c r="AC16" s="339"/>
      <c r="AD16" s="337" t="str">
        <f t="shared" si="4"/>
        <v>Je</v>
      </c>
      <c r="AE16" s="338">
        <f>+AE14+1</f>
        <v>44322</v>
      </c>
      <c r="AF16" s="344" t="str">
        <f>IF(ISNA(VLOOKUP(AE16,TAB_FERIES_PURS,4,FALSE)),"",VLOOKUP(AE16,TAB_FERIES_PURS,4,FALSE))</f>
        <v/>
      </c>
      <c r="AG16" s="338" t="str">
        <f>IF(MOD(MATCH(AE16,Calculs!$R$4:$R$93,1),2)=0,""," ")</f>
        <v/>
      </c>
      <c r="AH16" s="338" t="str">
        <f>IF(MOD(MATCH(AE16,Calculs!$S$4:$S$93,1),2)=0,""," ")</f>
        <v xml:space="preserve"> </v>
      </c>
      <c r="AI16" s="347" t="str">
        <f>IF(MOD(MATCH(AE16,Calculs!$T$4:$T$93,1),2)=0,""," ")</f>
        <v/>
      </c>
      <c r="AJ16" s="339"/>
      <c r="AK16" s="337" t="str">
        <f t="shared" si="5"/>
        <v>Di</v>
      </c>
      <c r="AL16" s="338">
        <f>+AL14+1</f>
        <v>44353</v>
      </c>
      <c r="AM16" s="344" t="str">
        <f>IF(ISNA(VLOOKUP(AL16,TAB_FERIES_PURS,4,FALSE)),"",VLOOKUP(AL16,TAB_FERIES_PURS,4,FALSE))</f>
        <v/>
      </c>
      <c r="AN16" s="338" t="str">
        <f>IF(MOD(MATCH(AL16,Calculs!$R$4:$R$93,1),2)=0,""," ")</f>
        <v/>
      </c>
      <c r="AO16" s="338" t="str">
        <f>IF(MOD(MATCH(AL16,Calculs!$S$4:$S$93,1),2)=0,""," ")</f>
        <v/>
      </c>
      <c r="AP16" s="347" t="str">
        <f>IF(MOD(MATCH(AL16,Calculs!$T$4:$T$93,1),2)=0,""," ")</f>
        <v/>
      </c>
      <c r="AQ16" s="339"/>
      <c r="AR16" s="337" t="str">
        <f t="shared" si="6"/>
        <v>Ma</v>
      </c>
      <c r="AS16" s="338">
        <f>+AS14+1</f>
        <v>44383</v>
      </c>
      <c r="AT16" s="344" t="str">
        <f>IF(ISNA(VLOOKUP(AS16,TAB_FERIES_PURS,4,FALSE)),"",VLOOKUP(AS16,TAB_FERIES_PURS,4,FALSE))</f>
        <v/>
      </c>
      <c r="AU16" s="338" t="str">
        <f>IF(MOD(MATCH(AS16,Calculs!$R$4:$R$93,1),2)=0,""," ")</f>
        <v/>
      </c>
      <c r="AV16" s="338" t="str">
        <f>IF(MOD(MATCH(AS16,Calculs!$S$4:$S$93,1),2)=0,""," ")</f>
        <v/>
      </c>
      <c r="AW16" s="347" t="str">
        <f>IF(MOD(MATCH(AS16,Calculs!$T$4:$T$93,1),2)=0,""," ")</f>
        <v/>
      </c>
      <c r="AX16" s="339"/>
      <c r="AY16" s="337" t="str">
        <f t="shared" si="7"/>
        <v>Ve</v>
      </c>
      <c r="AZ16" s="338">
        <f>+AZ14+1</f>
        <v>44414</v>
      </c>
      <c r="BA16" s="344" t="str">
        <f>IF(ISNA(VLOOKUP(AZ16,TAB_FERIES_PURS,4,FALSE)),"",VLOOKUP(AZ16,TAB_FERIES_PURS,4,FALSE))</f>
        <v/>
      </c>
      <c r="BB16" s="338" t="str">
        <f>IF(MOD(MATCH(AZ16,Calculs!$R$4:$R$93,1),2)=0,""," ")</f>
        <v xml:space="preserve"> </v>
      </c>
      <c r="BC16" s="338" t="str">
        <f>IF(MOD(MATCH(AZ16,Calculs!$S$4:$S$93,1),2)=0,""," ")</f>
        <v xml:space="preserve"> </v>
      </c>
      <c r="BD16" s="347" t="str">
        <f>IF(MOD(MATCH(AZ16,Calculs!$T$4:$T$93,1),2)=0,""," ")</f>
        <v xml:space="preserve"> </v>
      </c>
      <c r="BE16" s="339"/>
      <c r="BF16" s="337" t="str">
        <f t="shared" si="8"/>
        <v>Lu</v>
      </c>
      <c r="BG16" s="338">
        <f>+BG14+1</f>
        <v>44445</v>
      </c>
      <c r="BH16" s="344" t="str">
        <f>IF(ISNA(VLOOKUP(BG16,TAB_FERIES_PURS,4,FALSE)),"",VLOOKUP(BG16,TAB_FERIES_PURS,4,FALSE))</f>
        <v/>
      </c>
      <c r="BI16" s="338" t="str">
        <f>IF(MOD(MATCH(BG16,Calculs!$R$4:$R$93,1),2)=0,""," ")</f>
        <v/>
      </c>
      <c r="BJ16" s="338" t="str">
        <f>IF(MOD(MATCH(BG16,Calculs!$S$4:$S$93,1),2)=0,""," ")</f>
        <v/>
      </c>
      <c r="BK16" s="347" t="str">
        <f>IF(MOD(MATCH(BG16,Calculs!$T$4:$T$93,1),2)=0,""," ")</f>
        <v/>
      </c>
      <c r="BL16" s="339"/>
      <c r="BM16" s="337" t="str">
        <f t="shared" si="9"/>
        <v>Me</v>
      </c>
      <c r="BN16" s="338">
        <f>+BN14+1</f>
        <v>44475</v>
      </c>
      <c r="BO16" s="344" t="str">
        <f>IF(ISNA(VLOOKUP(BN16,TAB_FERIES_PURS,4,FALSE)),"",VLOOKUP(BN16,TAB_FERIES_PURS,4,FALSE))</f>
        <v/>
      </c>
      <c r="BP16" s="338" t="str">
        <f>IF(MOD(MATCH(BN16,Calculs!$R$4:$R$93,1),2)=0,""," ")</f>
        <v/>
      </c>
      <c r="BQ16" s="338" t="str">
        <f>IF(MOD(MATCH(BN16,Calculs!$S$4:$S$93,1),2)=0,""," ")</f>
        <v/>
      </c>
      <c r="BR16" s="347" t="str">
        <f>IF(MOD(MATCH(BN16,Calculs!$T$4:$T$93,1),2)=0,""," ")</f>
        <v/>
      </c>
      <c r="BS16" s="339"/>
      <c r="BT16" s="337" t="str">
        <f t="shared" si="10"/>
        <v>Sa</v>
      </c>
      <c r="BU16" s="338">
        <f>+BU14+1</f>
        <v>44506</v>
      </c>
      <c r="BV16" s="344" t="str">
        <f>IF(ISNA(VLOOKUP(BU16,TAB_FERIES_PURS,4,FALSE)),"",VLOOKUP(BU16,TAB_FERIES_PURS,4,FALSE))</f>
        <v/>
      </c>
      <c r="BW16" s="338" t="str">
        <f>IF(MOD(MATCH(BU16,Calculs!$R$4:$R$93,1),2)=0,""," ")</f>
        <v/>
      </c>
      <c r="BX16" s="338" t="str">
        <f>IF(MOD(MATCH(BU16,Calculs!$S$4:$S$93,1),2)=0,""," ")</f>
        <v/>
      </c>
      <c r="BY16" s="347" t="str">
        <f>IF(MOD(MATCH(BU16,Calculs!$T$4:$T$93,1),2)=0,""," ")</f>
        <v/>
      </c>
      <c r="BZ16" s="339"/>
      <c r="CA16" s="337" t="str">
        <f t="shared" si="11"/>
        <v>Lu</v>
      </c>
      <c r="CB16" s="338">
        <f>+CB14+1</f>
        <v>44536</v>
      </c>
      <c r="CC16" s="344" t="str">
        <f>IF(ISNA(VLOOKUP(CB16,TAB_FERIES_PURS,4,FALSE)),"",VLOOKUP(CB16,TAB_FERIES_PURS,4,FALSE))</f>
        <v/>
      </c>
      <c r="CD16" s="338" t="str">
        <f>IF(MOD(MATCH(CB16,Calculs!$R$4:$R$93,1),2)=0,""," ")</f>
        <v/>
      </c>
      <c r="CE16" s="338" t="str">
        <f>IF(MOD(MATCH(CB16,Calculs!$S$4:$S$93,1),2)=0,""," ")</f>
        <v/>
      </c>
      <c r="CF16" s="347" t="str">
        <f>IF(MOD(MATCH(CB16,Calculs!$T$4:$T$93,1),2)=0,""," ")</f>
        <v/>
      </c>
      <c r="CG16" s="360"/>
    </row>
    <row r="17" spans="1:85" s="345" customFormat="1" ht="4" customHeight="1" x14ac:dyDescent="0.15">
      <c r="A17" s="359"/>
      <c r="B17" s="337"/>
      <c r="C17" s="338"/>
      <c r="D17" s="340"/>
      <c r="E17" s="339"/>
      <c r="F17" s="339"/>
      <c r="G17" s="347"/>
      <c r="H17" s="339"/>
      <c r="I17" s="337"/>
      <c r="J17" s="338"/>
      <c r="K17" s="340"/>
      <c r="L17" s="339"/>
      <c r="M17" s="339"/>
      <c r="N17" s="347"/>
      <c r="O17" s="339"/>
      <c r="P17" s="337"/>
      <c r="Q17" s="338"/>
      <c r="R17" s="340"/>
      <c r="S17" s="339"/>
      <c r="T17" s="339"/>
      <c r="U17" s="347"/>
      <c r="V17" s="339"/>
      <c r="W17" s="337"/>
      <c r="X17" s="338"/>
      <c r="Y17" s="340"/>
      <c r="Z17" s="339"/>
      <c r="AA17" s="339"/>
      <c r="AB17" s="347"/>
      <c r="AC17" s="339"/>
      <c r="AD17" s="337"/>
      <c r="AE17" s="338"/>
      <c r="AF17" s="340"/>
      <c r="AG17" s="339"/>
      <c r="AH17" s="339"/>
      <c r="AI17" s="347"/>
      <c r="AJ17" s="339"/>
      <c r="AK17" s="337"/>
      <c r="AL17" s="338"/>
      <c r="AM17" s="340"/>
      <c r="AN17" s="339"/>
      <c r="AO17" s="339"/>
      <c r="AP17" s="347"/>
      <c r="AQ17" s="339"/>
      <c r="AR17" s="337"/>
      <c r="AS17" s="338"/>
      <c r="AT17" s="340"/>
      <c r="AU17" s="339"/>
      <c r="AV17" s="339"/>
      <c r="AW17" s="347"/>
      <c r="AX17" s="339"/>
      <c r="AY17" s="337"/>
      <c r="AZ17" s="338"/>
      <c r="BA17" s="340"/>
      <c r="BB17" s="339"/>
      <c r="BC17" s="339"/>
      <c r="BD17" s="347"/>
      <c r="BE17" s="339"/>
      <c r="BF17" s="337"/>
      <c r="BG17" s="338"/>
      <c r="BH17" s="340"/>
      <c r="BI17" s="339"/>
      <c r="BJ17" s="339"/>
      <c r="BK17" s="347"/>
      <c r="BL17" s="339"/>
      <c r="BM17" s="337"/>
      <c r="BN17" s="338"/>
      <c r="BO17" s="340"/>
      <c r="BP17" s="339"/>
      <c r="BQ17" s="339"/>
      <c r="BR17" s="347"/>
      <c r="BS17" s="339"/>
      <c r="BT17" s="337"/>
      <c r="BU17" s="338"/>
      <c r="BV17" s="340"/>
      <c r="BW17" s="339"/>
      <c r="BX17" s="339"/>
      <c r="BY17" s="347"/>
      <c r="BZ17" s="339"/>
      <c r="CA17" s="337"/>
      <c r="CB17" s="338"/>
      <c r="CC17" s="340"/>
      <c r="CD17" s="339"/>
      <c r="CE17" s="339"/>
      <c r="CF17" s="347"/>
      <c r="CG17" s="360"/>
    </row>
    <row r="18" spans="1:85" s="345" customFormat="1" ht="18" customHeight="1" x14ac:dyDescent="0.15">
      <c r="A18" s="359"/>
      <c r="B18" s="337" t="str">
        <f t="shared" si="0"/>
        <v>Je</v>
      </c>
      <c r="C18" s="338">
        <f>+C16+1</f>
        <v>44203</v>
      </c>
      <c r="D18" s="344" t="str">
        <f>IF(ISNA(VLOOKUP(C18,TAB_FERIES_PURS,4,FALSE)),"",VLOOKUP(C18,TAB_FERIES_PURS,4,FALSE))</f>
        <v/>
      </c>
      <c r="E18" s="338" t="str">
        <f>IF(MOD(MATCH(C18,Calculs!$R$4:$R$93,1),2)=0,""," ")</f>
        <v/>
      </c>
      <c r="F18" s="338" t="str">
        <f>IF(MOD(MATCH(C18,Calculs!$S$4:$S$93,1),2)=0,""," ")</f>
        <v/>
      </c>
      <c r="G18" s="347" t="str">
        <f>IF(MOD(MATCH(C18,Calculs!$T$4:$T$93,1),2)=0,""," ")</f>
        <v/>
      </c>
      <c r="H18" s="339"/>
      <c r="I18" s="337" t="str">
        <f t="shared" si="1"/>
        <v>Di</v>
      </c>
      <c r="J18" s="338">
        <f>+J16+1</f>
        <v>44234</v>
      </c>
      <c r="K18" s="344" t="str">
        <f>IF(ISNA(VLOOKUP(J18,TAB_FERIES_PURS,4,FALSE)),"",VLOOKUP(J18,TAB_FERIES_PURS,4,FALSE))</f>
        <v/>
      </c>
      <c r="L18" s="338" t="str">
        <f>IF(MOD(MATCH(J18,Calculs!$R$4:$R$93,1),2)=0,""," ")</f>
        <v xml:space="preserve"> </v>
      </c>
      <c r="M18" s="338" t="str">
        <f>IF(MOD(MATCH(J18,Calculs!$S$4:$S$93,1),2)=0,""," ")</f>
        <v/>
      </c>
      <c r="N18" s="347" t="str">
        <f>IF(MOD(MATCH(J18,Calculs!$T$4:$T$93,1),2)=0,""," ")</f>
        <v/>
      </c>
      <c r="O18" s="339"/>
      <c r="P18" s="337" t="str">
        <f t="shared" si="2"/>
        <v>Di</v>
      </c>
      <c r="Q18" s="338">
        <f>+Q16+1</f>
        <v>44262</v>
      </c>
      <c r="R18" s="344" t="str">
        <f>IF(ISNA(VLOOKUP(Q18,TAB_FERIES_PURS,4,FALSE)),"",VLOOKUP(Q18,TAB_FERIES_PURS,4,FALSE))</f>
        <v/>
      </c>
      <c r="S18" s="338" t="str">
        <f>IF(MOD(MATCH(Q18,Calculs!$R$4:$R$93,1),2)=0,""," ")</f>
        <v/>
      </c>
      <c r="T18" s="338" t="str">
        <f>IF(MOD(MATCH(Q18,Calculs!$S$4:$S$93,1),2)=0,""," ")</f>
        <v xml:space="preserve"> </v>
      </c>
      <c r="U18" s="347" t="str">
        <f>IF(MOD(MATCH(Q18,Calculs!$T$4:$T$93,1),2)=0,""," ")</f>
        <v/>
      </c>
      <c r="V18" s="339"/>
      <c r="W18" s="337" t="str">
        <f t="shared" si="3"/>
        <v>Me</v>
      </c>
      <c r="X18" s="338">
        <f>+X16+1</f>
        <v>44293</v>
      </c>
      <c r="Y18" s="344" t="str">
        <f>IF(ISNA(VLOOKUP(X18,TAB_FERIES_PURS,4,FALSE)),"",VLOOKUP(X18,TAB_FERIES_PURS,4,FALSE))</f>
        <v/>
      </c>
      <c r="Z18" s="338" t="str">
        <f>IF(MOD(MATCH(X18,Calculs!$R$4:$R$93,1),2)=0,""," ")</f>
        <v/>
      </c>
      <c r="AA18" s="338" t="str">
        <f>IF(MOD(MATCH(X18,Calculs!$S$4:$S$93,1),2)=0,""," ")</f>
        <v/>
      </c>
      <c r="AB18" s="347" t="str">
        <f>IF(MOD(MATCH(X18,Calculs!$T$4:$T$93,1),2)=0,""," ")</f>
        <v/>
      </c>
      <c r="AC18" s="339"/>
      <c r="AD18" s="337" t="str">
        <f t="shared" si="4"/>
        <v>Ve</v>
      </c>
      <c r="AE18" s="338">
        <f>+AE16+1</f>
        <v>44323</v>
      </c>
      <c r="AF18" s="344" t="str">
        <f>IF(ISNA(VLOOKUP(AE18,TAB_FERIES_PURS,4,FALSE)),"",VLOOKUP(AE18,TAB_FERIES_PURS,4,FALSE))</f>
        <v/>
      </c>
      <c r="AG18" s="338" t="str">
        <f>IF(MOD(MATCH(AE18,Calculs!$R$4:$R$93,1),2)=0,""," ")</f>
        <v/>
      </c>
      <c r="AH18" s="338" t="str">
        <f>IF(MOD(MATCH(AE18,Calculs!$S$4:$S$93,1),2)=0,""," ")</f>
        <v xml:space="preserve"> </v>
      </c>
      <c r="AI18" s="347" t="str">
        <f>IF(MOD(MATCH(AE18,Calculs!$T$4:$T$93,1),2)=0,""," ")</f>
        <v/>
      </c>
      <c r="AJ18" s="339"/>
      <c r="AK18" s="337" t="str">
        <f t="shared" si="5"/>
        <v>Lu</v>
      </c>
      <c r="AL18" s="338">
        <f>+AL16+1</f>
        <v>44354</v>
      </c>
      <c r="AM18" s="344" t="str">
        <f>IF(ISNA(VLOOKUP(AL18,TAB_FERIES_PURS,4,FALSE)),"",VLOOKUP(AL18,TAB_FERIES_PURS,4,FALSE))</f>
        <v/>
      </c>
      <c r="AN18" s="338" t="str">
        <f>IF(MOD(MATCH(AL18,Calculs!$R$4:$R$93,1),2)=0,""," ")</f>
        <v/>
      </c>
      <c r="AO18" s="338" t="str">
        <f>IF(MOD(MATCH(AL18,Calculs!$S$4:$S$93,1),2)=0,""," ")</f>
        <v/>
      </c>
      <c r="AP18" s="347" t="str">
        <f>IF(MOD(MATCH(AL18,Calculs!$T$4:$T$93,1),2)=0,""," ")</f>
        <v/>
      </c>
      <c r="AQ18" s="339"/>
      <c r="AR18" s="337" t="str">
        <f t="shared" si="6"/>
        <v>Me</v>
      </c>
      <c r="AS18" s="338">
        <f>+AS16+1</f>
        <v>44384</v>
      </c>
      <c r="AT18" s="344" t="str">
        <f>IF(ISNA(VLOOKUP(AS18,TAB_FERIES_PURS,4,FALSE)),"",VLOOKUP(AS18,TAB_FERIES_PURS,4,FALSE))</f>
        <v/>
      </c>
      <c r="AU18" s="338" t="str">
        <f>IF(MOD(MATCH(AS18,Calculs!$R$4:$R$93,1),2)=0,""," ")</f>
        <v xml:space="preserve"> </v>
      </c>
      <c r="AV18" s="338" t="str">
        <f>IF(MOD(MATCH(AS18,Calculs!$S$4:$S$93,1),2)=0,""," ")</f>
        <v xml:space="preserve"> </v>
      </c>
      <c r="AW18" s="347" t="str">
        <f>IF(MOD(MATCH(AS18,Calculs!$T$4:$T$93,1),2)=0,""," ")</f>
        <v xml:space="preserve"> </v>
      </c>
      <c r="AX18" s="339"/>
      <c r="AY18" s="337" t="str">
        <f t="shared" si="7"/>
        <v>Sa</v>
      </c>
      <c r="AZ18" s="338">
        <f>+AZ16+1</f>
        <v>44415</v>
      </c>
      <c r="BA18" s="344" t="str">
        <f>IF(ISNA(VLOOKUP(AZ18,TAB_FERIES_PURS,4,FALSE)),"",VLOOKUP(AZ18,TAB_FERIES_PURS,4,FALSE))</f>
        <v/>
      </c>
      <c r="BB18" s="338" t="str">
        <f>IF(MOD(MATCH(AZ18,Calculs!$R$4:$R$93,1),2)=0,""," ")</f>
        <v xml:space="preserve"> </v>
      </c>
      <c r="BC18" s="338" t="str">
        <f>IF(MOD(MATCH(AZ18,Calculs!$S$4:$S$93,1),2)=0,""," ")</f>
        <v xml:space="preserve"> </v>
      </c>
      <c r="BD18" s="347" t="str">
        <f>IF(MOD(MATCH(AZ18,Calculs!$T$4:$T$93,1),2)=0,""," ")</f>
        <v xml:space="preserve"> </v>
      </c>
      <c r="BE18" s="339"/>
      <c r="BF18" s="337" t="str">
        <f t="shared" si="8"/>
        <v>Ma</v>
      </c>
      <c r="BG18" s="338">
        <f>+BG16+1</f>
        <v>44446</v>
      </c>
      <c r="BH18" s="344" t="str">
        <f>IF(ISNA(VLOOKUP(BG18,TAB_FERIES_PURS,4,FALSE)),"",VLOOKUP(BG18,TAB_FERIES_PURS,4,FALSE))</f>
        <v/>
      </c>
      <c r="BI18" s="338" t="str">
        <f>IF(MOD(MATCH(BG18,Calculs!$R$4:$R$93,1),2)=0,""," ")</f>
        <v/>
      </c>
      <c r="BJ18" s="338" t="str">
        <f>IF(MOD(MATCH(BG18,Calculs!$S$4:$S$93,1),2)=0,""," ")</f>
        <v/>
      </c>
      <c r="BK18" s="347" t="str">
        <f>IF(MOD(MATCH(BG18,Calculs!$T$4:$T$93,1),2)=0,""," ")</f>
        <v/>
      </c>
      <c r="BL18" s="339"/>
      <c r="BM18" s="337" t="str">
        <f t="shared" si="9"/>
        <v>Je</v>
      </c>
      <c r="BN18" s="338">
        <f>+BN16+1</f>
        <v>44476</v>
      </c>
      <c r="BO18" s="344" t="str">
        <f>IF(ISNA(VLOOKUP(BN18,TAB_FERIES_PURS,4,FALSE)),"",VLOOKUP(BN18,TAB_FERIES_PURS,4,FALSE))</f>
        <v/>
      </c>
      <c r="BP18" s="338" t="str">
        <f>IF(MOD(MATCH(BN18,Calculs!$R$4:$R$93,1),2)=0,""," ")</f>
        <v/>
      </c>
      <c r="BQ18" s="338" t="str">
        <f>IF(MOD(MATCH(BN18,Calculs!$S$4:$S$93,1),2)=0,""," ")</f>
        <v/>
      </c>
      <c r="BR18" s="347" t="str">
        <f>IF(MOD(MATCH(BN18,Calculs!$T$4:$T$93,1),2)=0,""," ")</f>
        <v/>
      </c>
      <c r="BS18" s="339"/>
      <c r="BT18" s="337" t="str">
        <f t="shared" si="10"/>
        <v>Di</v>
      </c>
      <c r="BU18" s="338">
        <f>+BU16+1</f>
        <v>44507</v>
      </c>
      <c r="BV18" s="344" t="str">
        <f>IF(ISNA(VLOOKUP(BU18,TAB_FERIES_PURS,4,FALSE)),"",VLOOKUP(BU18,TAB_FERIES_PURS,4,FALSE))</f>
        <v/>
      </c>
      <c r="BW18" s="338" t="str">
        <f>IF(MOD(MATCH(BU18,Calculs!$R$4:$R$93,1),2)=0,""," ")</f>
        <v/>
      </c>
      <c r="BX18" s="338" t="str">
        <f>IF(MOD(MATCH(BU18,Calculs!$S$4:$S$93,1),2)=0,""," ")</f>
        <v/>
      </c>
      <c r="BY18" s="347" t="str">
        <f>IF(MOD(MATCH(BU18,Calculs!$T$4:$T$93,1),2)=0,""," ")</f>
        <v/>
      </c>
      <c r="BZ18" s="339"/>
      <c r="CA18" s="337" t="str">
        <f t="shared" si="11"/>
        <v>Ma</v>
      </c>
      <c r="CB18" s="338">
        <f>+CB16+1</f>
        <v>44537</v>
      </c>
      <c r="CC18" s="344" t="str">
        <f>IF(ISNA(VLOOKUP(CB18,TAB_FERIES_PURS,4,FALSE)),"",VLOOKUP(CB18,TAB_FERIES_PURS,4,FALSE))</f>
        <v/>
      </c>
      <c r="CD18" s="338" t="str">
        <f>IF(MOD(MATCH(CB18,Calculs!$R$4:$R$93,1),2)=0,""," ")</f>
        <v/>
      </c>
      <c r="CE18" s="338" t="str">
        <f>IF(MOD(MATCH(CB18,Calculs!$S$4:$S$93,1),2)=0,""," ")</f>
        <v/>
      </c>
      <c r="CF18" s="347" t="str">
        <f>IF(MOD(MATCH(CB18,Calculs!$T$4:$T$93,1),2)=0,""," ")</f>
        <v/>
      </c>
      <c r="CG18" s="360"/>
    </row>
    <row r="19" spans="1:85" s="345" customFormat="1" ht="4" customHeight="1" x14ac:dyDescent="0.15">
      <c r="A19" s="359"/>
      <c r="B19" s="337"/>
      <c r="C19" s="338"/>
      <c r="D19" s="340"/>
      <c r="E19" s="339"/>
      <c r="F19" s="339"/>
      <c r="G19" s="347"/>
      <c r="H19" s="339"/>
      <c r="I19" s="337"/>
      <c r="J19" s="338"/>
      <c r="K19" s="340"/>
      <c r="L19" s="339"/>
      <c r="M19" s="339"/>
      <c r="N19" s="347"/>
      <c r="O19" s="339"/>
      <c r="P19" s="337"/>
      <c r="Q19" s="338"/>
      <c r="R19" s="340"/>
      <c r="S19" s="339"/>
      <c r="T19" s="339"/>
      <c r="U19" s="347"/>
      <c r="V19" s="339"/>
      <c r="W19" s="337"/>
      <c r="X19" s="338"/>
      <c r="Y19" s="340"/>
      <c r="Z19" s="339"/>
      <c r="AA19" s="339"/>
      <c r="AB19" s="347"/>
      <c r="AC19" s="339"/>
      <c r="AD19" s="337"/>
      <c r="AE19" s="338"/>
      <c r="AF19" s="340"/>
      <c r="AG19" s="339"/>
      <c r="AH19" s="339"/>
      <c r="AI19" s="347"/>
      <c r="AJ19" s="339"/>
      <c r="AK19" s="337"/>
      <c r="AL19" s="338"/>
      <c r="AM19" s="340"/>
      <c r="AN19" s="339"/>
      <c r="AO19" s="339"/>
      <c r="AP19" s="347"/>
      <c r="AQ19" s="339"/>
      <c r="AR19" s="337"/>
      <c r="AS19" s="338"/>
      <c r="AT19" s="340"/>
      <c r="AU19" s="339"/>
      <c r="AV19" s="339"/>
      <c r="AW19" s="347"/>
      <c r="AX19" s="339"/>
      <c r="AY19" s="337"/>
      <c r="AZ19" s="338"/>
      <c r="BA19" s="340"/>
      <c r="BB19" s="339"/>
      <c r="BC19" s="339"/>
      <c r="BD19" s="347"/>
      <c r="BE19" s="339"/>
      <c r="BF19" s="337"/>
      <c r="BG19" s="338"/>
      <c r="BH19" s="340"/>
      <c r="BI19" s="339"/>
      <c r="BJ19" s="339"/>
      <c r="BK19" s="347"/>
      <c r="BL19" s="339"/>
      <c r="BM19" s="337"/>
      <c r="BN19" s="338"/>
      <c r="BO19" s="340"/>
      <c r="BP19" s="339"/>
      <c r="BQ19" s="339"/>
      <c r="BR19" s="347"/>
      <c r="BS19" s="339"/>
      <c r="BT19" s="337"/>
      <c r="BU19" s="338"/>
      <c r="BV19" s="340"/>
      <c r="BW19" s="339"/>
      <c r="BX19" s="339"/>
      <c r="BY19" s="347"/>
      <c r="BZ19" s="339"/>
      <c r="CA19" s="337"/>
      <c r="CB19" s="338"/>
      <c r="CC19" s="340"/>
      <c r="CD19" s="339"/>
      <c r="CE19" s="339"/>
      <c r="CF19" s="347"/>
      <c r="CG19" s="360"/>
    </row>
    <row r="20" spans="1:85" s="345" customFormat="1" ht="18" customHeight="1" x14ac:dyDescent="0.15">
      <c r="A20" s="359"/>
      <c r="B20" s="337" t="str">
        <f t="shared" si="0"/>
        <v>Ve</v>
      </c>
      <c r="C20" s="338">
        <f>+C18+1</f>
        <v>44204</v>
      </c>
      <c r="D20" s="344" t="str">
        <f>IF(ISNA(VLOOKUP(C20,TAB_FERIES_PURS,4,FALSE)),"",VLOOKUP(C20,TAB_FERIES_PURS,4,FALSE))</f>
        <v/>
      </c>
      <c r="E20" s="338" t="str">
        <f>IF(MOD(MATCH(C20,Calculs!$R$4:$R$93,1),2)=0,""," ")</f>
        <v/>
      </c>
      <c r="F20" s="338" t="str">
        <f>IF(MOD(MATCH(C20,Calculs!$S$4:$S$93,1),2)=0,""," ")</f>
        <v/>
      </c>
      <c r="G20" s="347" t="str">
        <f>IF(MOD(MATCH(C20,Calculs!$T$4:$T$93,1),2)=0,""," ")</f>
        <v/>
      </c>
      <c r="H20" s="339"/>
      <c r="I20" s="337" t="str">
        <f t="shared" si="1"/>
        <v>Lu</v>
      </c>
      <c r="J20" s="338">
        <f>+J18+1</f>
        <v>44235</v>
      </c>
      <c r="K20" s="344" t="str">
        <f>IF(ISNA(VLOOKUP(J20,TAB_FERIES_PURS,4,FALSE)),"",VLOOKUP(J20,TAB_FERIES_PURS,4,FALSE))</f>
        <v/>
      </c>
      <c r="L20" s="338" t="str">
        <f>IF(MOD(MATCH(J20,Calculs!$R$4:$R$93,1),2)=0,""," ")</f>
        <v xml:space="preserve"> </v>
      </c>
      <c r="M20" s="338" t="str">
        <f>IF(MOD(MATCH(J20,Calculs!$S$4:$S$93,1),2)=0,""," ")</f>
        <v/>
      </c>
      <c r="N20" s="347" t="str">
        <f>IF(MOD(MATCH(J20,Calculs!$T$4:$T$93,1),2)=0,""," ")</f>
        <v/>
      </c>
      <c r="O20" s="339"/>
      <c r="P20" s="337" t="str">
        <f t="shared" si="2"/>
        <v>Lu</v>
      </c>
      <c r="Q20" s="338">
        <f>+Q18+1</f>
        <v>44263</v>
      </c>
      <c r="R20" s="344" t="str">
        <f>IF(ISNA(VLOOKUP(Q20,TAB_FERIES_PURS,4,FALSE)),"",VLOOKUP(Q20,TAB_FERIES_PURS,4,FALSE))</f>
        <v/>
      </c>
      <c r="S20" s="338" t="str">
        <f>IF(MOD(MATCH(Q20,Calculs!$R$4:$R$93,1),2)=0,""," ")</f>
        <v/>
      </c>
      <c r="T20" s="338" t="str">
        <f>IF(MOD(MATCH(Q20,Calculs!$S$4:$S$93,1),2)=0,""," ")</f>
        <v/>
      </c>
      <c r="U20" s="347" t="str">
        <f>IF(MOD(MATCH(Q20,Calculs!$T$4:$T$93,1),2)=0,""," ")</f>
        <v/>
      </c>
      <c r="V20" s="339"/>
      <c r="W20" s="337" t="str">
        <f t="shared" si="3"/>
        <v>Je</v>
      </c>
      <c r="X20" s="338">
        <f>+X18+1</f>
        <v>44294</v>
      </c>
      <c r="Y20" s="344" t="str">
        <f>IF(ISNA(VLOOKUP(X20,TAB_FERIES_PURS,4,FALSE)),"",VLOOKUP(X20,TAB_FERIES_PURS,4,FALSE))</f>
        <v/>
      </c>
      <c r="Z20" s="338" t="str">
        <f>IF(MOD(MATCH(X20,Calculs!$R$4:$R$93,1),2)=0,""," ")</f>
        <v/>
      </c>
      <c r="AA20" s="338" t="str">
        <f>IF(MOD(MATCH(X20,Calculs!$S$4:$S$93,1),2)=0,""," ")</f>
        <v/>
      </c>
      <c r="AB20" s="347" t="str">
        <f>IF(MOD(MATCH(X20,Calculs!$T$4:$T$93,1),2)=0,""," ")</f>
        <v/>
      </c>
      <c r="AC20" s="339"/>
      <c r="AD20" s="337" t="str">
        <f t="shared" si="4"/>
        <v>Sa</v>
      </c>
      <c r="AE20" s="338">
        <f>+AE18+1</f>
        <v>44324</v>
      </c>
      <c r="AF20" s="344" t="str">
        <f>IF(ISNA(VLOOKUP(AE20,TAB_FERIES_PURS,4,FALSE)),"",VLOOKUP(AE20,TAB_FERIES_PURS,4,FALSE))</f>
        <v>F</v>
      </c>
      <c r="AG20" s="338" t="str">
        <f>IF(MOD(MATCH(AE20,Calculs!$R$4:$R$93,1),2)=0,""," ")</f>
        <v/>
      </c>
      <c r="AH20" s="338" t="str">
        <f>IF(MOD(MATCH(AE20,Calculs!$S$4:$S$93,1),2)=0,""," ")</f>
        <v xml:space="preserve"> </v>
      </c>
      <c r="AI20" s="347" t="str">
        <f>IF(MOD(MATCH(AE20,Calculs!$T$4:$T$93,1),2)=0,""," ")</f>
        <v/>
      </c>
      <c r="AJ20" s="339"/>
      <c r="AK20" s="337" t="str">
        <f t="shared" si="5"/>
        <v>Ma</v>
      </c>
      <c r="AL20" s="338">
        <f>+AL18+1</f>
        <v>44355</v>
      </c>
      <c r="AM20" s="344" t="str">
        <f>IF(ISNA(VLOOKUP(AL20,TAB_FERIES_PURS,4,FALSE)),"",VLOOKUP(AL20,TAB_FERIES_PURS,4,FALSE))</f>
        <v/>
      </c>
      <c r="AN20" s="338" t="str">
        <f>IF(MOD(MATCH(AL20,Calculs!$R$4:$R$93,1),2)=0,""," ")</f>
        <v/>
      </c>
      <c r="AO20" s="338" t="str">
        <f>IF(MOD(MATCH(AL20,Calculs!$S$4:$S$93,1),2)=0,""," ")</f>
        <v/>
      </c>
      <c r="AP20" s="347" t="str">
        <f>IF(MOD(MATCH(AL20,Calculs!$T$4:$T$93,1),2)=0,""," ")</f>
        <v/>
      </c>
      <c r="AQ20" s="339"/>
      <c r="AR20" s="337" t="str">
        <f t="shared" si="6"/>
        <v>Je</v>
      </c>
      <c r="AS20" s="338">
        <f>+AS18+1</f>
        <v>44385</v>
      </c>
      <c r="AT20" s="344" t="str">
        <f>IF(ISNA(VLOOKUP(AS20,TAB_FERIES_PURS,4,FALSE)),"",VLOOKUP(AS20,TAB_FERIES_PURS,4,FALSE))</f>
        <v/>
      </c>
      <c r="AU20" s="338" t="str">
        <f>IF(MOD(MATCH(AS20,Calculs!$R$4:$R$93,1),2)=0,""," ")</f>
        <v xml:space="preserve"> </v>
      </c>
      <c r="AV20" s="338" t="str">
        <f>IF(MOD(MATCH(AS20,Calculs!$S$4:$S$93,1),2)=0,""," ")</f>
        <v xml:space="preserve"> </v>
      </c>
      <c r="AW20" s="347" t="str">
        <f>IF(MOD(MATCH(AS20,Calculs!$T$4:$T$93,1),2)=0,""," ")</f>
        <v xml:space="preserve"> </v>
      </c>
      <c r="AX20" s="339"/>
      <c r="AY20" s="337" t="str">
        <f t="shared" si="7"/>
        <v>Di</v>
      </c>
      <c r="AZ20" s="338">
        <f>+AZ18+1</f>
        <v>44416</v>
      </c>
      <c r="BA20" s="344" t="str">
        <f>IF(ISNA(VLOOKUP(AZ20,TAB_FERIES_PURS,4,FALSE)),"",VLOOKUP(AZ20,TAB_FERIES_PURS,4,FALSE))</f>
        <v/>
      </c>
      <c r="BB20" s="338" t="str">
        <f>IF(MOD(MATCH(AZ20,Calculs!$R$4:$R$93,1),2)=0,""," ")</f>
        <v xml:space="preserve"> </v>
      </c>
      <c r="BC20" s="338" t="str">
        <f>IF(MOD(MATCH(AZ20,Calculs!$S$4:$S$93,1),2)=0,""," ")</f>
        <v xml:space="preserve"> </v>
      </c>
      <c r="BD20" s="347" t="str">
        <f>IF(MOD(MATCH(AZ20,Calculs!$T$4:$T$93,1),2)=0,""," ")</f>
        <v xml:space="preserve"> </v>
      </c>
      <c r="BE20" s="339"/>
      <c r="BF20" s="337" t="str">
        <f t="shared" si="8"/>
        <v>Me</v>
      </c>
      <c r="BG20" s="338">
        <f>+BG18+1</f>
        <v>44447</v>
      </c>
      <c r="BH20" s="344" t="str">
        <f>IF(ISNA(VLOOKUP(BG20,TAB_FERIES_PURS,4,FALSE)),"",VLOOKUP(BG20,TAB_FERIES_PURS,4,FALSE))</f>
        <v/>
      </c>
      <c r="BI20" s="338" t="str">
        <f>IF(MOD(MATCH(BG20,Calculs!$R$4:$R$93,1),2)=0,""," ")</f>
        <v/>
      </c>
      <c r="BJ20" s="338" t="str">
        <f>IF(MOD(MATCH(BG20,Calculs!$S$4:$S$93,1),2)=0,""," ")</f>
        <v/>
      </c>
      <c r="BK20" s="347" t="str">
        <f>IF(MOD(MATCH(BG20,Calculs!$T$4:$T$93,1),2)=0,""," ")</f>
        <v/>
      </c>
      <c r="BL20" s="339"/>
      <c r="BM20" s="337" t="str">
        <f t="shared" si="9"/>
        <v>Ve</v>
      </c>
      <c r="BN20" s="338">
        <f>+BN18+1</f>
        <v>44477</v>
      </c>
      <c r="BO20" s="344" t="str">
        <f>IF(ISNA(VLOOKUP(BN20,TAB_FERIES_PURS,4,FALSE)),"",VLOOKUP(BN20,TAB_FERIES_PURS,4,FALSE))</f>
        <v/>
      </c>
      <c r="BP20" s="338" t="str">
        <f>IF(MOD(MATCH(BN20,Calculs!$R$4:$R$93,1),2)=0,""," ")</f>
        <v/>
      </c>
      <c r="BQ20" s="338" t="str">
        <f>IF(MOD(MATCH(BN20,Calculs!$S$4:$S$93,1),2)=0,""," ")</f>
        <v/>
      </c>
      <c r="BR20" s="347" t="str">
        <f>IF(MOD(MATCH(BN20,Calculs!$T$4:$T$93,1),2)=0,""," ")</f>
        <v/>
      </c>
      <c r="BS20" s="339"/>
      <c r="BT20" s="337" t="str">
        <f t="shared" si="10"/>
        <v>Lu</v>
      </c>
      <c r="BU20" s="338">
        <f>+BU18+1</f>
        <v>44508</v>
      </c>
      <c r="BV20" s="344" t="str">
        <f>IF(ISNA(VLOOKUP(BU20,TAB_FERIES_PURS,4,FALSE)),"",VLOOKUP(BU20,TAB_FERIES_PURS,4,FALSE))</f>
        <v/>
      </c>
      <c r="BW20" s="338" t="str">
        <f>IF(MOD(MATCH(BU20,Calculs!$R$4:$R$93,1),2)=0,""," ")</f>
        <v/>
      </c>
      <c r="BX20" s="338" t="str">
        <f>IF(MOD(MATCH(BU20,Calculs!$S$4:$S$93,1),2)=0,""," ")</f>
        <v/>
      </c>
      <c r="BY20" s="347" t="str">
        <f>IF(MOD(MATCH(BU20,Calculs!$T$4:$T$93,1),2)=0,""," ")</f>
        <v/>
      </c>
      <c r="BZ20" s="339"/>
      <c r="CA20" s="337" t="str">
        <f t="shared" si="11"/>
        <v>Me</v>
      </c>
      <c r="CB20" s="338">
        <f>+CB18+1</f>
        <v>44538</v>
      </c>
      <c r="CC20" s="344" t="str">
        <f>IF(ISNA(VLOOKUP(CB20,TAB_FERIES_PURS,4,FALSE)),"",VLOOKUP(CB20,TAB_FERIES_PURS,4,FALSE))</f>
        <v/>
      </c>
      <c r="CD20" s="338" t="str">
        <f>IF(MOD(MATCH(CB20,Calculs!$R$4:$R$93,1),2)=0,""," ")</f>
        <v/>
      </c>
      <c r="CE20" s="338" t="str">
        <f>IF(MOD(MATCH(CB20,Calculs!$S$4:$S$93,1),2)=0,""," ")</f>
        <v/>
      </c>
      <c r="CF20" s="347" t="str">
        <f>IF(MOD(MATCH(CB20,Calculs!$T$4:$T$93,1),2)=0,""," ")</f>
        <v/>
      </c>
      <c r="CG20" s="360"/>
    </row>
    <row r="21" spans="1:85" s="345" customFormat="1" ht="4" customHeight="1" x14ac:dyDescent="0.15">
      <c r="A21" s="359"/>
      <c r="B21" s="337"/>
      <c r="C21" s="338"/>
      <c r="D21" s="340"/>
      <c r="E21" s="339"/>
      <c r="F21" s="339"/>
      <c r="G21" s="347"/>
      <c r="H21" s="339"/>
      <c r="I21" s="337"/>
      <c r="J21" s="338"/>
      <c r="K21" s="340"/>
      <c r="L21" s="339"/>
      <c r="M21" s="339"/>
      <c r="N21" s="347"/>
      <c r="O21" s="339"/>
      <c r="P21" s="337"/>
      <c r="Q21" s="338"/>
      <c r="R21" s="340"/>
      <c r="S21" s="339"/>
      <c r="T21" s="339"/>
      <c r="U21" s="347"/>
      <c r="V21" s="339"/>
      <c r="W21" s="337"/>
      <c r="X21" s="338"/>
      <c r="Y21" s="340"/>
      <c r="Z21" s="339"/>
      <c r="AA21" s="339"/>
      <c r="AB21" s="347"/>
      <c r="AC21" s="339"/>
      <c r="AD21" s="337"/>
      <c r="AE21" s="338"/>
      <c r="AF21" s="340"/>
      <c r="AG21" s="339"/>
      <c r="AH21" s="339"/>
      <c r="AI21" s="347"/>
      <c r="AJ21" s="339"/>
      <c r="AK21" s="337"/>
      <c r="AL21" s="338"/>
      <c r="AM21" s="340"/>
      <c r="AN21" s="339"/>
      <c r="AO21" s="339"/>
      <c r="AP21" s="347"/>
      <c r="AQ21" s="339"/>
      <c r="AR21" s="337"/>
      <c r="AS21" s="338"/>
      <c r="AT21" s="340"/>
      <c r="AU21" s="339"/>
      <c r="AV21" s="339"/>
      <c r="AW21" s="347"/>
      <c r="AX21" s="339"/>
      <c r="AY21" s="337"/>
      <c r="AZ21" s="338"/>
      <c r="BA21" s="340"/>
      <c r="BB21" s="339"/>
      <c r="BC21" s="339"/>
      <c r="BD21" s="347"/>
      <c r="BE21" s="339"/>
      <c r="BF21" s="337"/>
      <c r="BG21" s="338"/>
      <c r="BH21" s="340"/>
      <c r="BI21" s="339"/>
      <c r="BJ21" s="339"/>
      <c r="BK21" s="347"/>
      <c r="BL21" s="339"/>
      <c r="BM21" s="337"/>
      <c r="BN21" s="338"/>
      <c r="BO21" s="340"/>
      <c r="BP21" s="339"/>
      <c r="BQ21" s="339"/>
      <c r="BR21" s="347"/>
      <c r="BS21" s="339"/>
      <c r="BT21" s="337"/>
      <c r="BU21" s="338"/>
      <c r="BV21" s="340"/>
      <c r="BW21" s="339"/>
      <c r="BX21" s="339"/>
      <c r="BY21" s="347"/>
      <c r="BZ21" s="339"/>
      <c r="CA21" s="337"/>
      <c r="CB21" s="338"/>
      <c r="CC21" s="340"/>
      <c r="CD21" s="339"/>
      <c r="CE21" s="339"/>
      <c r="CF21" s="347"/>
      <c r="CG21" s="360"/>
    </row>
    <row r="22" spans="1:85" s="345" customFormat="1" ht="18" customHeight="1" x14ac:dyDescent="0.15">
      <c r="A22" s="359"/>
      <c r="B22" s="337" t="str">
        <f t="shared" si="0"/>
        <v>Sa</v>
      </c>
      <c r="C22" s="338">
        <f>+C20+1</f>
        <v>44205</v>
      </c>
      <c r="D22" s="344" t="str">
        <f>IF(ISNA(VLOOKUP(C22,TAB_FERIES_PURS,4,FALSE)),"",VLOOKUP(C22,TAB_FERIES_PURS,4,FALSE))</f>
        <v/>
      </c>
      <c r="E22" s="338" t="str">
        <f>IF(MOD(MATCH(C22,Calculs!$R$4:$R$93,1),2)=0,""," ")</f>
        <v/>
      </c>
      <c r="F22" s="338" t="str">
        <f>IF(MOD(MATCH(C22,Calculs!$S$4:$S$93,1),2)=0,""," ")</f>
        <v/>
      </c>
      <c r="G22" s="347" t="str">
        <f>IF(MOD(MATCH(C22,Calculs!$T$4:$T$93,1),2)=0,""," ")</f>
        <v/>
      </c>
      <c r="H22" s="339"/>
      <c r="I22" s="337" t="str">
        <f t="shared" si="1"/>
        <v>Ma</v>
      </c>
      <c r="J22" s="338">
        <f>+J20+1</f>
        <v>44236</v>
      </c>
      <c r="K22" s="344" t="str">
        <f>IF(ISNA(VLOOKUP(J22,TAB_FERIES_PURS,4,FALSE)),"",VLOOKUP(J22,TAB_FERIES_PURS,4,FALSE))</f>
        <v/>
      </c>
      <c r="L22" s="338" t="str">
        <f>IF(MOD(MATCH(J22,Calculs!$R$4:$R$93,1),2)=0,""," ")</f>
        <v xml:space="preserve"> </v>
      </c>
      <c r="M22" s="338" t="str">
        <f>IF(MOD(MATCH(J22,Calculs!$S$4:$S$93,1),2)=0,""," ")</f>
        <v/>
      </c>
      <c r="N22" s="347" t="str">
        <f>IF(MOD(MATCH(J22,Calculs!$T$4:$T$93,1),2)=0,""," ")</f>
        <v/>
      </c>
      <c r="O22" s="339"/>
      <c r="P22" s="337" t="str">
        <f t="shared" si="2"/>
        <v>Ma</v>
      </c>
      <c r="Q22" s="338">
        <f>+Q20+1</f>
        <v>44264</v>
      </c>
      <c r="R22" s="344" t="str">
        <f>IF(ISNA(VLOOKUP(Q22,TAB_FERIES_PURS,4,FALSE)),"",VLOOKUP(Q22,TAB_FERIES_PURS,4,FALSE))</f>
        <v/>
      </c>
      <c r="S22" s="338" t="str">
        <f>IF(MOD(MATCH(Q22,Calculs!$R$4:$R$93,1),2)=0,""," ")</f>
        <v/>
      </c>
      <c r="T22" s="338" t="str">
        <f>IF(MOD(MATCH(Q22,Calculs!$S$4:$S$93,1),2)=0,""," ")</f>
        <v/>
      </c>
      <c r="U22" s="347" t="str">
        <f>IF(MOD(MATCH(Q22,Calculs!$T$4:$T$93,1),2)=0,""," ")</f>
        <v/>
      </c>
      <c r="V22" s="339"/>
      <c r="W22" s="337" t="str">
        <f t="shared" si="3"/>
        <v>Ve</v>
      </c>
      <c r="X22" s="338">
        <f>+X20+1</f>
        <v>44295</v>
      </c>
      <c r="Y22" s="344" t="str">
        <f>IF(ISNA(VLOOKUP(X22,TAB_FERIES_PURS,4,FALSE)),"",VLOOKUP(X22,TAB_FERIES_PURS,4,FALSE))</f>
        <v/>
      </c>
      <c r="Z22" s="338" t="str">
        <f>IF(MOD(MATCH(X22,Calculs!$R$4:$R$93,1),2)=0,""," ")</f>
        <v/>
      </c>
      <c r="AA22" s="338" t="str">
        <f>IF(MOD(MATCH(X22,Calculs!$S$4:$S$93,1),2)=0,""," ")</f>
        <v/>
      </c>
      <c r="AB22" s="347" t="str">
        <f>IF(MOD(MATCH(X22,Calculs!$T$4:$T$93,1),2)=0,""," ")</f>
        <v/>
      </c>
      <c r="AC22" s="339"/>
      <c r="AD22" s="337" t="str">
        <f t="shared" si="4"/>
        <v>Di</v>
      </c>
      <c r="AE22" s="338">
        <f>+AE20+1</f>
        <v>44325</v>
      </c>
      <c r="AF22" s="344" t="str">
        <f>IF(ISNA(VLOOKUP(AE22,TAB_FERIES_PURS,4,FALSE)),"",VLOOKUP(AE22,TAB_FERIES_PURS,4,FALSE))</f>
        <v/>
      </c>
      <c r="AG22" s="338" t="str">
        <f>IF(MOD(MATCH(AE22,Calculs!$R$4:$R$93,1),2)=0,""," ")</f>
        <v/>
      </c>
      <c r="AH22" s="338" t="str">
        <f>IF(MOD(MATCH(AE22,Calculs!$S$4:$S$93,1),2)=0,""," ")</f>
        <v xml:space="preserve"> </v>
      </c>
      <c r="AI22" s="347" t="str">
        <f>IF(MOD(MATCH(AE22,Calculs!$T$4:$T$93,1),2)=0,""," ")</f>
        <v/>
      </c>
      <c r="AJ22" s="339"/>
      <c r="AK22" s="337" t="str">
        <f t="shared" si="5"/>
        <v>Me</v>
      </c>
      <c r="AL22" s="338">
        <f>+AL20+1</f>
        <v>44356</v>
      </c>
      <c r="AM22" s="344" t="str">
        <f>IF(ISNA(VLOOKUP(AL22,TAB_FERIES_PURS,4,FALSE)),"",VLOOKUP(AL22,TAB_FERIES_PURS,4,FALSE))</f>
        <v/>
      </c>
      <c r="AN22" s="338" t="str">
        <f>IF(MOD(MATCH(AL22,Calculs!$R$4:$R$93,1),2)=0,""," ")</f>
        <v/>
      </c>
      <c r="AO22" s="338" t="str">
        <f>IF(MOD(MATCH(AL22,Calculs!$S$4:$S$93,1),2)=0,""," ")</f>
        <v/>
      </c>
      <c r="AP22" s="347" t="str">
        <f>IF(MOD(MATCH(AL22,Calculs!$T$4:$T$93,1),2)=0,""," ")</f>
        <v/>
      </c>
      <c r="AQ22" s="339"/>
      <c r="AR22" s="337" t="str">
        <f t="shared" si="6"/>
        <v>Ve</v>
      </c>
      <c r="AS22" s="338">
        <f>+AS20+1</f>
        <v>44386</v>
      </c>
      <c r="AT22" s="344" t="str">
        <f>IF(ISNA(VLOOKUP(AS22,TAB_FERIES_PURS,4,FALSE)),"",VLOOKUP(AS22,TAB_FERIES_PURS,4,FALSE))</f>
        <v/>
      </c>
      <c r="AU22" s="338" t="str">
        <f>IF(MOD(MATCH(AS22,Calculs!$R$4:$R$93,1),2)=0,""," ")</f>
        <v xml:space="preserve"> </v>
      </c>
      <c r="AV22" s="338" t="str">
        <f>IF(MOD(MATCH(AS22,Calculs!$S$4:$S$93,1),2)=0,""," ")</f>
        <v xml:space="preserve"> </v>
      </c>
      <c r="AW22" s="347" t="str">
        <f>IF(MOD(MATCH(AS22,Calculs!$T$4:$T$93,1),2)=0,""," ")</f>
        <v xml:space="preserve"> </v>
      </c>
      <c r="AX22" s="339"/>
      <c r="AY22" s="337" t="str">
        <f t="shared" si="7"/>
        <v>Lu</v>
      </c>
      <c r="AZ22" s="338">
        <f>+AZ20+1</f>
        <v>44417</v>
      </c>
      <c r="BA22" s="344" t="str">
        <f>IF(ISNA(VLOOKUP(AZ22,TAB_FERIES_PURS,4,FALSE)),"",VLOOKUP(AZ22,TAB_FERIES_PURS,4,FALSE))</f>
        <v/>
      </c>
      <c r="BB22" s="338" t="str">
        <f>IF(MOD(MATCH(AZ22,Calculs!$R$4:$R$93,1),2)=0,""," ")</f>
        <v xml:space="preserve"> </v>
      </c>
      <c r="BC22" s="338" t="str">
        <f>IF(MOD(MATCH(AZ22,Calculs!$S$4:$S$93,1),2)=0,""," ")</f>
        <v xml:space="preserve"> </v>
      </c>
      <c r="BD22" s="347" t="str">
        <f>IF(MOD(MATCH(AZ22,Calculs!$T$4:$T$93,1),2)=0,""," ")</f>
        <v xml:space="preserve"> </v>
      </c>
      <c r="BE22" s="339"/>
      <c r="BF22" s="337" t="str">
        <f t="shared" si="8"/>
        <v>Je</v>
      </c>
      <c r="BG22" s="338">
        <f>+BG20+1</f>
        <v>44448</v>
      </c>
      <c r="BH22" s="344" t="str">
        <f>IF(ISNA(VLOOKUP(BG22,TAB_FERIES_PURS,4,FALSE)),"",VLOOKUP(BG22,TAB_FERIES_PURS,4,FALSE))</f>
        <v/>
      </c>
      <c r="BI22" s="338" t="str">
        <f>IF(MOD(MATCH(BG22,Calculs!$R$4:$R$93,1),2)=0,""," ")</f>
        <v/>
      </c>
      <c r="BJ22" s="338" t="str">
        <f>IF(MOD(MATCH(BG22,Calculs!$S$4:$S$93,1),2)=0,""," ")</f>
        <v/>
      </c>
      <c r="BK22" s="347" t="str">
        <f>IF(MOD(MATCH(BG22,Calculs!$T$4:$T$93,1),2)=0,""," ")</f>
        <v/>
      </c>
      <c r="BL22" s="339"/>
      <c r="BM22" s="337" t="str">
        <f t="shared" si="9"/>
        <v>Sa</v>
      </c>
      <c r="BN22" s="338">
        <f>+BN20+1</f>
        <v>44478</v>
      </c>
      <c r="BO22" s="344" t="str">
        <f>IF(ISNA(VLOOKUP(BN22,TAB_FERIES_PURS,4,FALSE)),"",VLOOKUP(BN22,TAB_FERIES_PURS,4,FALSE))</f>
        <v/>
      </c>
      <c r="BP22" s="338" t="str">
        <f>IF(MOD(MATCH(BN22,Calculs!$R$4:$R$93,1),2)=0,""," ")</f>
        <v/>
      </c>
      <c r="BQ22" s="338" t="str">
        <f>IF(MOD(MATCH(BN22,Calculs!$S$4:$S$93,1),2)=0,""," ")</f>
        <v/>
      </c>
      <c r="BR22" s="347" t="str">
        <f>IF(MOD(MATCH(BN22,Calculs!$T$4:$T$93,1),2)=0,""," ")</f>
        <v/>
      </c>
      <c r="BS22" s="339"/>
      <c r="BT22" s="337" t="str">
        <f t="shared" si="10"/>
        <v>Ma</v>
      </c>
      <c r="BU22" s="338">
        <f>+BU20+1</f>
        <v>44509</v>
      </c>
      <c r="BV22" s="344" t="str">
        <f>IF(ISNA(VLOOKUP(BU22,TAB_FERIES_PURS,4,FALSE)),"",VLOOKUP(BU22,TAB_FERIES_PURS,4,FALSE))</f>
        <v/>
      </c>
      <c r="BW22" s="338" t="str">
        <f>IF(MOD(MATCH(BU22,Calculs!$R$4:$R$93,1),2)=0,""," ")</f>
        <v/>
      </c>
      <c r="BX22" s="338" t="str">
        <f>IF(MOD(MATCH(BU22,Calculs!$S$4:$S$93,1),2)=0,""," ")</f>
        <v/>
      </c>
      <c r="BY22" s="347" t="str">
        <f>IF(MOD(MATCH(BU22,Calculs!$T$4:$T$93,1),2)=0,""," ")</f>
        <v/>
      </c>
      <c r="BZ22" s="339"/>
      <c r="CA22" s="337" t="str">
        <f t="shared" si="11"/>
        <v>Je</v>
      </c>
      <c r="CB22" s="338">
        <f>+CB20+1</f>
        <v>44539</v>
      </c>
      <c r="CC22" s="344" t="str">
        <f>IF(ISNA(VLOOKUP(CB22,TAB_FERIES_PURS,4,FALSE)),"",VLOOKUP(CB22,TAB_FERIES_PURS,4,FALSE))</f>
        <v/>
      </c>
      <c r="CD22" s="338" t="str">
        <f>IF(MOD(MATCH(CB22,Calculs!$R$4:$R$93,1),2)=0,""," ")</f>
        <v/>
      </c>
      <c r="CE22" s="338" t="str">
        <f>IF(MOD(MATCH(CB22,Calculs!$S$4:$S$93,1),2)=0,""," ")</f>
        <v/>
      </c>
      <c r="CF22" s="347" t="str">
        <f>IF(MOD(MATCH(CB22,Calculs!$T$4:$T$93,1),2)=0,""," ")</f>
        <v/>
      </c>
      <c r="CG22" s="360"/>
    </row>
    <row r="23" spans="1:85" s="345" customFormat="1" ht="4" customHeight="1" x14ac:dyDescent="0.15">
      <c r="A23" s="359"/>
      <c r="B23" s="337"/>
      <c r="C23" s="338"/>
      <c r="D23" s="340"/>
      <c r="E23" s="339"/>
      <c r="F23" s="339"/>
      <c r="G23" s="347"/>
      <c r="H23" s="339"/>
      <c r="I23" s="337"/>
      <c r="J23" s="338"/>
      <c r="K23" s="340"/>
      <c r="L23" s="339"/>
      <c r="M23" s="339"/>
      <c r="N23" s="347"/>
      <c r="O23" s="339"/>
      <c r="P23" s="337"/>
      <c r="Q23" s="338"/>
      <c r="R23" s="340"/>
      <c r="S23" s="339"/>
      <c r="T23" s="339"/>
      <c r="U23" s="347"/>
      <c r="V23" s="339"/>
      <c r="W23" s="337"/>
      <c r="X23" s="338"/>
      <c r="Y23" s="340"/>
      <c r="Z23" s="339"/>
      <c r="AA23" s="339"/>
      <c r="AB23" s="347"/>
      <c r="AC23" s="339"/>
      <c r="AD23" s="337"/>
      <c r="AE23" s="338"/>
      <c r="AF23" s="340"/>
      <c r="AG23" s="339"/>
      <c r="AH23" s="339"/>
      <c r="AI23" s="347"/>
      <c r="AJ23" s="339"/>
      <c r="AK23" s="337"/>
      <c r="AL23" s="338"/>
      <c r="AM23" s="340"/>
      <c r="AN23" s="339"/>
      <c r="AO23" s="339"/>
      <c r="AP23" s="347"/>
      <c r="AQ23" s="339"/>
      <c r="AR23" s="337"/>
      <c r="AS23" s="338"/>
      <c r="AT23" s="340"/>
      <c r="AU23" s="339"/>
      <c r="AV23" s="339"/>
      <c r="AW23" s="347"/>
      <c r="AX23" s="339"/>
      <c r="AY23" s="337"/>
      <c r="AZ23" s="338"/>
      <c r="BA23" s="340"/>
      <c r="BB23" s="339"/>
      <c r="BC23" s="339"/>
      <c r="BD23" s="347"/>
      <c r="BE23" s="339"/>
      <c r="BF23" s="337"/>
      <c r="BG23" s="338"/>
      <c r="BH23" s="340"/>
      <c r="BI23" s="339"/>
      <c r="BJ23" s="339"/>
      <c r="BK23" s="347"/>
      <c r="BL23" s="339"/>
      <c r="BM23" s="337"/>
      <c r="BN23" s="338"/>
      <c r="BO23" s="340"/>
      <c r="BP23" s="339"/>
      <c r="BQ23" s="339"/>
      <c r="BR23" s="347"/>
      <c r="BS23" s="339"/>
      <c r="BT23" s="337"/>
      <c r="BU23" s="338"/>
      <c r="BV23" s="340"/>
      <c r="BW23" s="339"/>
      <c r="BX23" s="339"/>
      <c r="BY23" s="347"/>
      <c r="BZ23" s="339"/>
      <c r="CA23" s="337"/>
      <c r="CB23" s="338"/>
      <c r="CC23" s="340"/>
      <c r="CD23" s="339"/>
      <c r="CE23" s="339"/>
      <c r="CF23" s="347"/>
      <c r="CG23" s="360"/>
    </row>
    <row r="24" spans="1:85" s="345" customFormat="1" ht="18" customHeight="1" x14ac:dyDescent="0.15">
      <c r="A24" s="359"/>
      <c r="B24" s="337" t="str">
        <f t="shared" si="0"/>
        <v>Di</v>
      </c>
      <c r="C24" s="338">
        <f>+C22+1</f>
        <v>44206</v>
      </c>
      <c r="D24" s="344" t="str">
        <f>IF(ISNA(VLOOKUP(C24,TAB_FERIES_PURS,4,FALSE)),"",VLOOKUP(C24,TAB_FERIES_PURS,4,FALSE))</f>
        <v/>
      </c>
      <c r="E24" s="338" t="str">
        <f>IF(MOD(MATCH(C24,Calculs!$R$4:$R$93,1),2)=0,""," ")</f>
        <v/>
      </c>
      <c r="F24" s="338" t="str">
        <f>IF(MOD(MATCH(C24,Calculs!$S$4:$S$93,1),2)=0,""," ")</f>
        <v/>
      </c>
      <c r="G24" s="347" t="str">
        <f>IF(MOD(MATCH(C24,Calculs!$T$4:$T$93,1),2)=0,""," ")</f>
        <v/>
      </c>
      <c r="H24" s="339"/>
      <c r="I24" s="337" t="str">
        <f t="shared" si="1"/>
        <v>Me</v>
      </c>
      <c r="J24" s="338">
        <f>+J22+1</f>
        <v>44237</v>
      </c>
      <c r="K24" s="344" t="str">
        <f>IF(ISNA(VLOOKUP(J24,TAB_FERIES_PURS,4,FALSE)),"",VLOOKUP(J24,TAB_FERIES_PURS,4,FALSE))</f>
        <v/>
      </c>
      <c r="L24" s="338" t="str">
        <f>IF(MOD(MATCH(J24,Calculs!$R$4:$R$93,1),2)=0,""," ")</f>
        <v xml:space="preserve"> </v>
      </c>
      <c r="M24" s="338" t="str">
        <f>IF(MOD(MATCH(J24,Calculs!$S$4:$S$93,1),2)=0,""," ")</f>
        <v/>
      </c>
      <c r="N24" s="347" t="str">
        <f>IF(MOD(MATCH(J24,Calculs!$T$4:$T$93,1),2)=0,""," ")</f>
        <v/>
      </c>
      <c r="O24" s="339"/>
      <c r="P24" s="337" t="str">
        <f t="shared" si="2"/>
        <v>Me</v>
      </c>
      <c r="Q24" s="338">
        <f>+Q22+1</f>
        <v>44265</v>
      </c>
      <c r="R24" s="344" t="str">
        <f>IF(ISNA(VLOOKUP(Q24,TAB_FERIES_PURS,4,FALSE)),"",VLOOKUP(Q24,TAB_FERIES_PURS,4,FALSE))</f>
        <v/>
      </c>
      <c r="S24" s="338" t="str">
        <f>IF(MOD(MATCH(Q24,Calculs!$R$4:$R$93,1),2)=0,""," ")</f>
        <v/>
      </c>
      <c r="T24" s="338" t="str">
        <f>IF(MOD(MATCH(Q24,Calculs!$S$4:$S$93,1),2)=0,""," ")</f>
        <v/>
      </c>
      <c r="U24" s="347" t="str">
        <f>IF(MOD(MATCH(Q24,Calculs!$T$4:$T$93,1),2)=0,""," ")</f>
        <v/>
      </c>
      <c r="V24" s="339"/>
      <c r="W24" s="337" t="str">
        <f t="shared" si="3"/>
        <v>Sa</v>
      </c>
      <c r="X24" s="338">
        <f>+X22+1</f>
        <v>44296</v>
      </c>
      <c r="Y24" s="344" t="str">
        <f>IF(ISNA(VLOOKUP(X24,TAB_FERIES_PURS,4,FALSE)),"",VLOOKUP(X24,TAB_FERIES_PURS,4,FALSE))</f>
        <v/>
      </c>
      <c r="Z24" s="338" t="str">
        <f>IF(MOD(MATCH(X24,Calculs!$R$4:$R$93,1),2)=0,""," ")</f>
        <v xml:space="preserve"> </v>
      </c>
      <c r="AA24" s="338" t="str">
        <f>IF(MOD(MATCH(X24,Calculs!$S$4:$S$93,1),2)=0,""," ")</f>
        <v/>
      </c>
      <c r="AB24" s="347" t="str">
        <f>IF(MOD(MATCH(X24,Calculs!$T$4:$T$93,1),2)=0,""," ")</f>
        <v/>
      </c>
      <c r="AC24" s="339"/>
      <c r="AD24" s="337" t="str">
        <f t="shared" si="4"/>
        <v>Lu</v>
      </c>
      <c r="AE24" s="338">
        <f>+AE22+1</f>
        <v>44326</v>
      </c>
      <c r="AF24" s="344" t="str">
        <f>IF(ISNA(VLOOKUP(AE24,TAB_FERIES_PURS,4,FALSE)),"",VLOOKUP(AE24,TAB_FERIES_PURS,4,FALSE))</f>
        <v/>
      </c>
      <c r="AG24" s="338" t="str">
        <f>IF(MOD(MATCH(AE24,Calculs!$R$4:$R$93,1),2)=0,""," ")</f>
        <v/>
      </c>
      <c r="AH24" s="338" t="str">
        <f>IF(MOD(MATCH(AE24,Calculs!$S$4:$S$93,1),2)=0,""," ")</f>
        <v/>
      </c>
      <c r="AI24" s="347" t="str">
        <f>IF(MOD(MATCH(AE24,Calculs!$T$4:$T$93,1),2)=0,""," ")</f>
        <v/>
      </c>
      <c r="AJ24" s="339"/>
      <c r="AK24" s="337" t="str">
        <f t="shared" si="5"/>
        <v>Je</v>
      </c>
      <c r="AL24" s="338">
        <f>+AL22+1</f>
        <v>44357</v>
      </c>
      <c r="AM24" s="344" t="str">
        <f>IF(ISNA(VLOOKUP(AL24,TAB_FERIES_PURS,4,FALSE)),"",VLOOKUP(AL24,TAB_FERIES_PURS,4,FALSE))</f>
        <v/>
      </c>
      <c r="AN24" s="338" t="str">
        <f>IF(MOD(MATCH(AL24,Calculs!$R$4:$R$93,1),2)=0,""," ")</f>
        <v/>
      </c>
      <c r="AO24" s="338" t="str">
        <f>IF(MOD(MATCH(AL24,Calculs!$S$4:$S$93,1),2)=0,""," ")</f>
        <v/>
      </c>
      <c r="AP24" s="347" t="str">
        <f>IF(MOD(MATCH(AL24,Calculs!$T$4:$T$93,1),2)=0,""," ")</f>
        <v/>
      </c>
      <c r="AQ24" s="339"/>
      <c r="AR24" s="337" t="str">
        <f t="shared" si="6"/>
        <v>Sa</v>
      </c>
      <c r="AS24" s="338">
        <f>+AS22+1</f>
        <v>44387</v>
      </c>
      <c r="AT24" s="344" t="str">
        <f>IF(ISNA(VLOOKUP(AS24,TAB_FERIES_PURS,4,FALSE)),"",VLOOKUP(AS24,TAB_FERIES_PURS,4,FALSE))</f>
        <v/>
      </c>
      <c r="AU24" s="338" t="str">
        <f>IF(MOD(MATCH(AS24,Calculs!$R$4:$R$93,1),2)=0,""," ")</f>
        <v xml:space="preserve"> </v>
      </c>
      <c r="AV24" s="338" t="str">
        <f>IF(MOD(MATCH(AS24,Calculs!$S$4:$S$93,1),2)=0,""," ")</f>
        <v xml:space="preserve"> </v>
      </c>
      <c r="AW24" s="347" t="str">
        <f>IF(MOD(MATCH(AS24,Calculs!$T$4:$T$93,1),2)=0,""," ")</f>
        <v xml:space="preserve"> </v>
      </c>
      <c r="AX24" s="339"/>
      <c r="AY24" s="337" t="str">
        <f t="shared" si="7"/>
        <v>Ma</v>
      </c>
      <c r="AZ24" s="338">
        <f>+AZ22+1</f>
        <v>44418</v>
      </c>
      <c r="BA24" s="344" t="str">
        <f>IF(ISNA(VLOOKUP(AZ24,TAB_FERIES_PURS,4,FALSE)),"",VLOOKUP(AZ24,TAB_FERIES_PURS,4,FALSE))</f>
        <v/>
      </c>
      <c r="BB24" s="338" t="str">
        <f>IF(MOD(MATCH(AZ24,Calculs!$R$4:$R$93,1),2)=0,""," ")</f>
        <v xml:space="preserve"> </v>
      </c>
      <c r="BC24" s="338" t="str">
        <f>IF(MOD(MATCH(AZ24,Calculs!$S$4:$S$93,1),2)=0,""," ")</f>
        <v xml:space="preserve"> </v>
      </c>
      <c r="BD24" s="347" t="str">
        <f>IF(MOD(MATCH(AZ24,Calculs!$T$4:$T$93,1),2)=0,""," ")</f>
        <v xml:space="preserve"> </v>
      </c>
      <c r="BE24" s="339"/>
      <c r="BF24" s="337" t="str">
        <f t="shared" si="8"/>
        <v>Ve</v>
      </c>
      <c r="BG24" s="338">
        <f>+BG22+1</f>
        <v>44449</v>
      </c>
      <c r="BH24" s="344" t="str">
        <f>IF(ISNA(VLOOKUP(BG24,TAB_FERIES_PURS,4,FALSE)),"",VLOOKUP(BG24,TAB_FERIES_PURS,4,FALSE))</f>
        <v/>
      </c>
      <c r="BI24" s="338" t="str">
        <f>IF(MOD(MATCH(BG24,Calculs!$R$4:$R$93,1),2)=0,""," ")</f>
        <v/>
      </c>
      <c r="BJ24" s="338" t="str">
        <f>IF(MOD(MATCH(BG24,Calculs!$S$4:$S$93,1),2)=0,""," ")</f>
        <v/>
      </c>
      <c r="BK24" s="347" t="str">
        <f>IF(MOD(MATCH(BG24,Calculs!$T$4:$T$93,1),2)=0,""," ")</f>
        <v/>
      </c>
      <c r="BL24" s="339"/>
      <c r="BM24" s="337" t="str">
        <f t="shared" si="9"/>
        <v>Di</v>
      </c>
      <c r="BN24" s="338">
        <f>+BN22+1</f>
        <v>44479</v>
      </c>
      <c r="BO24" s="344" t="str">
        <f>IF(ISNA(VLOOKUP(BN24,TAB_FERIES_PURS,4,FALSE)),"",VLOOKUP(BN24,TAB_FERIES_PURS,4,FALSE))</f>
        <v/>
      </c>
      <c r="BP24" s="338" t="str">
        <f>IF(MOD(MATCH(BN24,Calculs!$R$4:$R$93,1),2)=0,""," ")</f>
        <v/>
      </c>
      <c r="BQ24" s="338" t="str">
        <f>IF(MOD(MATCH(BN24,Calculs!$S$4:$S$93,1),2)=0,""," ")</f>
        <v/>
      </c>
      <c r="BR24" s="347" t="str">
        <f>IF(MOD(MATCH(BN24,Calculs!$T$4:$T$93,1),2)=0,""," ")</f>
        <v/>
      </c>
      <c r="BS24" s="339"/>
      <c r="BT24" s="337" t="str">
        <f t="shared" si="10"/>
        <v>Me</v>
      </c>
      <c r="BU24" s="338">
        <f>+BU22+1</f>
        <v>44510</v>
      </c>
      <c r="BV24" s="344" t="str">
        <f>IF(ISNA(VLOOKUP(BU24,TAB_FERIES_PURS,4,FALSE)),"",VLOOKUP(BU24,TAB_FERIES_PURS,4,FALSE))</f>
        <v/>
      </c>
      <c r="BW24" s="338" t="str">
        <f>IF(MOD(MATCH(BU24,Calculs!$R$4:$R$93,1),2)=0,""," ")</f>
        <v/>
      </c>
      <c r="BX24" s="338" t="str">
        <f>IF(MOD(MATCH(BU24,Calculs!$S$4:$S$93,1),2)=0,""," ")</f>
        <v/>
      </c>
      <c r="BY24" s="347" t="str">
        <f>IF(MOD(MATCH(BU24,Calculs!$T$4:$T$93,1),2)=0,""," ")</f>
        <v/>
      </c>
      <c r="BZ24" s="339"/>
      <c r="CA24" s="337" t="str">
        <f t="shared" si="11"/>
        <v>Ve</v>
      </c>
      <c r="CB24" s="338">
        <f>+CB22+1</f>
        <v>44540</v>
      </c>
      <c r="CC24" s="344" t="str">
        <f>IF(ISNA(VLOOKUP(CB24,TAB_FERIES_PURS,4,FALSE)),"",VLOOKUP(CB24,TAB_FERIES_PURS,4,FALSE))</f>
        <v/>
      </c>
      <c r="CD24" s="338" t="str">
        <f>IF(MOD(MATCH(CB24,Calculs!$R$4:$R$93,1),2)=0,""," ")</f>
        <v/>
      </c>
      <c r="CE24" s="338" t="str">
        <f>IF(MOD(MATCH(CB24,Calculs!$S$4:$S$93,1),2)=0,""," ")</f>
        <v/>
      </c>
      <c r="CF24" s="347" t="str">
        <f>IF(MOD(MATCH(CB24,Calculs!$T$4:$T$93,1),2)=0,""," ")</f>
        <v/>
      </c>
      <c r="CG24" s="360"/>
    </row>
    <row r="25" spans="1:85" s="345" customFormat="1" ht="4" customHeight="1" x14ac:dyDescent="0.15">
      <c r="A25" s="359"/>
      <c r="B25" s="337"/>
      <c r="C25" s="338"/>
      <c r="D25" s="340"/>
      <c r="E25" s="339"/>
      <c r="F25" s="339"/>
      <c r="G25" s="347"/>
      <c r="H25" s="339"/>
      <c r="I25" s="337"/>
      <c r="J25" s="338"/>
      <c r="K25" s="340"/>
      <c r="L25" s="339"/>
      <c r="M25" s="339"/>
      <c r="N25" s="347"/>
      <c r="O25" s="339"/>
      <c r="P25" s="337"/>
      <c r="Q25" s="338"/>
      <c r="R25" s="340"/>
      <c r="S25" s="339"/>
      <c r="T25" s="339"/>
      <c r="U25" s="347"/>
      <c r="V25" s="339"/>
      <c r="W25" s="337"/>
      <c r="X25" s="338"/>
      <c r="Y25" s="340"/>
      <c r="Z25" s="339"/>
      <c r="AA25" s="339"/>
      <c r="AB25" s="347"/>
      <c r="AC25" s="339"/>
      <c r="AD25" s="337"/>
      <c r="AE25" s="338"/>
      <c r="AF25" s="340"/>
      <c r="AG25" s="339"/>
      <c r="AH25" s="339"/>
      <c r="AI25" s="347"/>
      <c r="AJ25" s="339"/>
      <c r="AK25" s="337"/>
      <c r="AL25" s="338"/>
      <c r="AM25" s="340"/>
      <c r="AN25" s="339"/>
      <c r="AO25" s="339"/>
      <c r="AP25" s="347"/>
      <c r="AQ25" s="339"/>
      <c r="AR25" s="337"/>
      <c r="AS25" s="338"/>
      <c r="AT25" s="340"/>
      <c r="AU25" s="339"/>
      <c r="AV25" s="339"/>
      <c r="AW25" s="347"/>
      <c r="AX25" s="339"/>
      <c r="AY25" s="337"/>
      <c r="AZ25" s="338"/>
      <c r="BA25" s="340"/>
      <c r="BB25" s="339"/>
      <c r="BC25" s="339"/>
      <c r="BD25" s="347"/>
      <c r="BE25" s="339"/>
      <c r="BF25" s="337"/>
      <c r="BG25" s="338"/>
      <c r="BH25" s="340"/>
      <c r="BI25" s="339"/>
      <c r="BJ25" s="339"/>
      <c r="BK25" s="347"/>
      <c r="BL25" s="339"/>
      <c r="BM25" s="337"/>
      <c r="BN25" s="338"/>
      <c r="BO25" s="340"/>
      <c r="BP25" s="339"/>
      <c r="BQ25" s="339"/>
      <c r="BR25" s="347"/>
      <c r="BS25" s="339"/>
      <c r="BT25" s="337"/>
      <c r="BU25" s="338"/>
      <c r="BV25" s="340"/>
      <c r="BW25" s="339"/>
      <c r="BX25" s="339"/>
      <c r="BY25" s="347"/>
      <c r="BZ25" s="339"/>
      <c r="CA25" s="337"/>
      <c r="CB25" s="338"/>
      <c r="CC25" s="340"/>
      <c r="CD25" s="339"/>
      <c r="CE25" s="339"/>
      <c r="CF25" s="347"/>
      <c r="CG25" s="360"/>
    </row>
    <row r="26" spans="1:85" s="345" customFormat="1" ht="18" customHeight="1" x14ac:dyDescent="0.15">
      <c r="A26" s="359"/>
      <c r="B26" s="337" t="str">
        <f t="shared" si="0"/>
        <v>Lu</v>
      </c>
      <c r="C26" s="338">
        <f>+C24+1</f>
        <v>44207</v>
      </c>
      <c r="D26" s="344" t="str">
        <f>IF(ISNA(VLOOKUP(C26,TAB_FERIES_PURS,4,FALSE)),"",VLOOKUP(C26,TAB_FERIES_PURS,4,FALSE))</f>
        <v/>
      </c>
      <c r="E26" s="338" t="str">
        <f>IF(MOD(MATCH(C26,Calculs!$R$4:$R$93,1),2)=0,""," ")</f>
        <v/>
      </c>
      <c r="F26" s="338" t="str">
        <f>IF(MOD(MATCH(C26,Calculs!$S$4:$S$93,1),2)=0,""," ")</f>
        <v/>
      </c>
      <c r="G26" s="347" t="str">
        <f>IF(MOD(MATCH(C26,Calculs!$T$4:$T$93,1),2)=0,""," ")</f>
        <v/>
      </c>
      <c r="H26" s="339"/>
      <c r="I26" s="337" t="str">
        <f t="shared" si="1"/>
        <v>Je</v>
      </c>
      <c r="J26" s="338">
        <f>+J24+1</f>
        <v>44238</v>
      </c>
      <c r="K26" s="344" t="str">
        <f>IF(ISNA(VLOOKUP(J26,TAB_FERIES_PURS,4,FALSE)),"",VLOOKUP(J26,TAB_FERIES_PURS,4,FALSE))</f>
        <v/>
      </c>
      <c r="L26" s="338" t="str">
        <f>IF(MOD(MATCH(J26,Calculs!$R$4:$R$93,1),2)=0,""," ")</f>
        <v xml:space="preserve"> </v>
      </c>
      <c r="M26" s="338" t="str">
        <f>IF(MOD(MATCH(J26,Calculs!$S$4:$S$93,1),2)=0,""," ")</f>
        <v/>
      </c>
      <c r="N26" s="347" t="str">
        <f>IF(MOD(MATCH(J26,Calculs!$T$4:$T$93,1),2)=0,""," ")</f>
        <v/>
      </c>
      <c r="O26" s="339"/>
      <c r="P26" s="337" t="str">
        <f t="shared" si="2"/>
        <v>Je</v>
      </c>
      <c r="Q26" s="338">
        <f>+Q24+1</f>
        <v>44266</v>
      </c>
      <c r="R26" s="344" t="str">
        <f>IF(ISNA(VLOOKUP(Q26,TAB_FERIES_PURS,4,FALSE)),"",VLOOKUP(Q26,TAB_FERIES_PURS,4,FALSE))</f>
        <v/>
      </c>
      <c r="S26" s="338" t="str">
        <f>IF(MOD(MATCH(Q26,Calculs!$R$4:$R$93,1),2)=0,""," ")</f>
        <v/>
      </c>
      <c r="T26" s="338" t="str">
        <f>IF(MOD(MATCH(Q26,Calculs!$S$4:$S$93,1),2)=0,""," ")</f>
        <v/>
      </c>
      <c r="U26" s="347" t="str">
        <f>IF(MOD(MATCH(Q26,Calculs!$T$4:$T$93,1),2)=0,""," ")</f>
        <v/>
      </c>
      <c r="V26" s="339"/>
      <c r="W26" s="337" t="str">
        <f t="shared" si="3"/>
        <v>Di</v>
      </c>
      <c r="X26" s="338">
        <f>+X24+1</f>
        <v>44297</v>
      </c>
      <c r="Y26" s="344" t="str">
        <f>IF(ISNA(VLOOKUP(X26,TAB_FERIES_PURS,4,FALSE)),"",VLOOKUP(X26,TAB_FERIES_PURS,4,FALSE))</f>
        <v/>
      </c>
      <c r="Z26" s="338" t="str">
        <f>IF(MOD(MATCH(X26,Calculs!$R$4:$R$93,1),2)=0,""," ")</f>
        <v xml:space="preserve"> </v>
      </c>
      <c r="AA26" s="338" t="str">
        <f>IF(MOD(MATCH(X26,Calculs!$S$4:$S$93,1),2)=0,""," ")</f>
        <v/>
      </c>
      <c r="AB26" s="347" t="str">
        <f>IF(MOD(MATCH(X26,Calculs!$T$4:$T$93,1),2)=0,""," ")</f>
        <v/>
      </c>
      <c r="AC26" s="339"/>
      <c r="AD26" s="337" t="str">
        <f t="shared" si="4"/>
        <v>Ma</v>
      </c>
      <c r="AE26" s="338">
        <f>+AE24+1</f>
        <v>44327</v>
      </c>
      <c r="AF26" s="344" t="str">
        <f>IF(ISNA(VLOOKUP(AE26,TAB_FERIES_PURS,4,FALSE)),"",VLOOKUP(AE26,TAB_FERIES_PURS,4,FALSE))</f>
        <v/>
      </c>
      <c r="AG26" s="338" t="str">
        <f>IF(MOD(MATCH(AE26,Calculs!$R$4:$R$93,1),2)=0,""," ")</f>
        <v/>
      </c>
      <c r="AH26" s="338" t="str">
        <f>IF(MOD(MATCH(AE26,Calculs!$S$4:$S$93,1),2)=0,""," ")</f>
        <v/>
      </c>
      <c r="AI26" s="347" t="str">
        <f>IF(MOD(MATCH(AE26,Calculs!$T$4:$T$93,1),2)=0,""," ")</f>
        <v/>
      </c>
      <c r="AJ26" s="339"/>
      <c r="AK26" s="337" t="str">
        <f t="shared" si="5"/>
        <v>Ve</v>
      </c>
      <c r="AL26" s="338">
        <f>+AL24+1</f>
        <v>44358</v>
      </c>
      <c r="AM26" s="344" t="str">
        <f>IF(ISNA(VLOOKUP(AL26,TAB_FERIES_PURS,4,FALSE)),"",VLOOKUP(AL26,TAB_FERIES_PURS,4,FALSE))</f>
        <v/>
      </c>
      <c r="AN26" s="338" t="str">
        <f>IF(MOD(MATCH(AL26,Calculs!$R$4:$R$93,1),2)=0,""," ")</f>
        <v/>
      </c>
      <c r="AO26" s="338" t="str">
        <f>IF(MOD(MATCH(AL26,Calculs!$S$4:$S$93,1),2)=0,""," ")</f>
        <v/>
      </c>
      <c r="AP26" s="347" t="str">
        <f>IF(MOD(MATCH(AL26,Calculs!$T$4:$T$93,1),2)=0,""," ")</f>
        <v/>
      </c>
      <c r="AQ26" s="339"/>
      <c r="AR26" s="337" t="str">
        <f t="shared" si="6"/>
        <v>Di</v>
      </c>
      <c r="AS26" s="338">
        <f>+AS24+1</f>
        <v>44388</v>
      </c>
      <c r="AT26" s="344" t="str">
        <f>IF(ISNA(VLOOKUP(AS26,TAB_FERIES_PURS,4,FALSE)),"",VLOOKUP(AS26,TAB_FERIES_PURS,4,FALSE))</f>
        <v/>
      </c>
      <c r="AU26" s="338" t="str">
        <f>IF(MOD(MATCH(AS26,Calculs!$R$4:$R$93,1),2)=0,""," ")</f>
        <v xml:space="preserve"> </v>
      </c>
      <c r="AV26" s="338" t="str">
        <f>IF(MOD(MATCH(AS26,Calculs!$S$4:$S$93,1),2)=0,""," ")</f>
        <v xml:space="preserve"> </v>
      </c>
      <c r="AW26" s="347" t="str">
        <f>IF(MOD(MATCH(AS26,Calculs!$T$4:$T$93,1),2)=0,""," ")</f>
        <v xml:space="preserve"> </v>
      </c>
      <c r="AX26" s="339"/>
      <c r="AY26" s="337" t="str">
        <f t="shared" si="7"/>
        <v>Me</v>
      </c>
      <c r="AZ26" s="338">
        <f>+AZ24+1</f>
        <v>44419</v>
      </c>
      <c r="BA26" s="344" t="str">
        <f>IF(ISNA(VLOOKUP(AZ26,TAB_FERIES_PURS,4,FALSE)),"",VLOOKUP(AZ26,TAB_FERIES_PURS,4,FALSE))</f>
        <v/>
      </c>
      <c r="BB26" s="338" t="str">
        <f>IF(MOD(MATCH(AZ26,Calculs!$R$4:$R$93,1),2)=0,""," ")</f>
        <v xml:space="preserve"> </v>
      </c>
      <c r="BC26" s="338" t="str">
        <f>IF(MOD(MATCH(AZ26,Calculs!$S$4:$S$93,1),2)=0,""," ")</f>
        <v xml:space="preserve"> </v>
      </c>
      <c r="BD26" s="347" t="str">
        <f>IF(MOD(MATCH(AZ26,Calculs!$T$4:$T$93,1),2)=0,""," ")</f>
        <v xml:space="preserve"> </v>
      </c>
      <c r="BE26" s="339"/>
      <c r="BF26" s="337" t="str">
        <f t="shared" si="8"/>
        <v>Sa</v>
      </c>
      <c r="BG26" s="338">
        <f>+BG24+1</f>
        <v>44450</v>
      </c>
      <c r="BH26" s="344" t="str">
        <f>IF(ISNA(VLOOKUP(BG26,TAB_FERIES_PURS,4,FALSE)),"",VLOOKUP(BG26,TAB_FERIES_PURS,4,FALSE))</f>
        <v/>
      </c>
      <c r="BI26" s="338" t="str">
        <f>IF(MOD(MATCH(BG26,Calculs!$R$4:$R$93,1),2)=0,""," ")</f>
        <v/>
      </c>
      <c r="BJ26" s="338" t="str">
        <f>IF(MOD(MATCH(BG26,Calculs!$S$4:$S$93,1),2)=0,""," ")</f>
        <v/>
      </c>
      <c r="BK26" s="347" t="str">
        <f>IF(MOD(MATCH(BG26,Calculs!$T$4:$T$93,1),2)=0,""," ")</f>
        <v/>
      </c>
      <c r="BL26" s="339"/>
      <c r="BM26" s="337" t="str">
        <f t="shared" si="9"/>
        <v>Lu</v>
      </c>
      <c r="BN26" s="338">
        <f>+BN24+1</f>
        <v>44480</v>
      </c>
      <c r="BO26" s="344" t="str">
        <f>IF(ISNA(VLOOKUP(BN26,TAB_FERIES_PURS,4,FALSE)),"",VLOOKUP(BN26,TAB_FERIES_PURS,4,FALSE))</f>
        <v/>
      </c>
      <c r="BP26" s="338" t="str">
        <f>IF(MOD(MATCH(BN26,Calculs!$R$4:$R$93,1),2)=0,""," ")</f>
        <v/>
      </c>
      <c r="BQ26" s="338" t="str">
        <f>IF(MOD(MATCH(BN26,Calculs!$S$4:$S$93,1),2)=0,""," ")</f>
        <v/>
      </c>
      <c r="BR26" s="347" t="str">
        <f>IF(MOD(MATCH(BN26,Calculs!$T$4:$T$93,1),2)=0,""," ")</f>
        <v/>
      </c>
      <c r="BS26" s="339"/>
      <c r="BT26" s="337" t="str">
        <f t="shared" si="10"/>
        <v>Je</v>
      </c>
      <c r="BU26" s="338">
        <f>+BU24+1</f>
        <v>44511</v>
      </c>
      <c r="BV26" s="344" t="str">
        <f>IF(ISNA(VLOOKUP(BU26,TAB_FERIES_PURS,4,FALSE)),"",VLOOKUP(BU26,TAB_FERIES_PURS,4,FALSE))</f>
        <v>F</v>
      </c>
      <c r="BW26" s="338" t="str">
        <f>IF(MOD(MATCH(BU26,Calculs!$R$4:$R$93,1),2)=0,""," ")</f>
        <v/>
      </c>
      <c r="BX26" s="338" t="str">
        <f>IF(MOD(MATCH(BU26,Calculs!$S$4:$S$93,1),2)=0,""," ")</f>
        <v/>
      </c>
      <c r="BY26" s="347" t="str">
        <f>IF(MOD(MATCH(BU26,Calculs!$T$4:$T$93,1),2)=0,""," ")</f>
        <v/>
      </c>
      <c r="BZ26" s="339"/>
      <c r="CA26" s="337" t="str">
        <f t="shared" si="11"/>
        <v>Sa</v>
      </c>
      <c r="CB26" s="338">
        <f>+CB24+1</f>
        <v>44541</v>
      </c>
      <c r="CC26" s="344" t="str">
        <f>IF(ISNA(VLOOKUP(CB26,TAB_FERIES_PURS,4,FALSE)),"",VLOOKUP(CB26,TAB_FERIES_PURS,4,FALSE))</f>
        <v/>
      </c>
      <c r="CD26" s="338" t="str">
        <f>IF(MOD(MATCH(CB26,Calculs!$R$4:$R$93,1),2)=0,""," ")</f>
        <v/>
      </c>
      <c r="CE26" s="338" t="str">
        <f>IF(MOD(MATCH(CB26,Calculs!$S$4:$S$93,1),2)=0,""," ")</f>
        <v/>
      </c>
      <c r="CF26" s="347" t="str">
        <f>IF(MOD(MATCH(CB26,Calculs!$T$4:$T$93,1),2)=0,""," ")</f>
        <v/>
      </c>
      <c r="CG26" s="360"/>
    </row>
    <row r="27" spans="1:85" s="345" customFormat="1" ht="4" customHeight="1" x14ac:dyDescent="0.15">
      <c r="A27" s="359"/>
      <c r="B27" s="337"/>
      <c r="C27" s="338"/>
      <c r="D27" s="340"/>
      <c r="E27" s="339"/>
      <c r="F27" s="339"/>
      <c r="G27" s="347"/>
      <c r="H27" s="339"/>
      <c r="I27" s="337"/>
      <c r="J27" s="338"/>
      <c r="K27" s="340"/>
      <c r="L27" s="339"/>
      <c r="M27" s="339"/>
      <c r="N27" s="347"/>
      <c r="O27" s="339"/>
      <c r="P27" s="337"/>
      <c r="Q27" s="338"/>
      <c r="R27" s="340"/>
      <c r="S27" s="339"/>
      <c r="T27" s="339"/>
      <c r="U27" s="347"/>
      <c r="V27" s="339"/>
      <c r="W27" s="337"/>
      <c r="X27" s="338"/>
      <c r="Y27" s="340"/>
      <c r="Z27" s="339"/>
      <c r="AA27" s="339"/>
      <c r="AB27" s="347"/>
      <c r="AC27" s="339"/>
      <c r="AD27" s="337"/>
      <c r="AE27" s="338"/>
      <c r="AF27" s="340"/>
      <c r="AG27" s="339"/>
      <c r="AH27" s="339"/>
      <c r="AI27" s="347"/>
      <c r="AJ27" s="339"/>
      <c r="AK27" s="337"/>
      <c r="AL27" s="338"/>
      <c r="AM27" s="340"/>
      <c r="AN27" s="339"/>
      <c r="AO27" s="339"/>
      <c r="AP27" s="347"/>
      <c r="AQ27" s="339"/>
      <c r="AR27" s="337"/>
      <c r="AS27" s="338"/>
      <c r="AT27" s="340"/>
      <c r="AU27" s="339"/>
      <c r="AV27" s="339"/>
      <c r="AW27" s="347"/>
      <c r="AX27" s="339"/>
      <c r="AY27" s="337"/>
      <c r="AZ27" s="338"/>
      <c r="BA27" s="340"/>
      <c r="BB27" s="339"/>
      <c r="BC27" s="339"/>
      <c r="BD27" s="347"/>
      <c r="BE27" s="339"/>
      <c r="BF27" s="337"/>
      <c r="BG27" s="338"/>
      <c r="BH27" s="340"/>
      <c r="BI27" s="339"/>
      <c r="BJ27" s="339"/>
      <c r="BK27" s="347"/>
      <c r="BL27" s="339"/>
      <c r="BM27" s="337"/>
      <c r="BN27" s="338"/>
      <c r="BO27" s="340"/>
      <c r="BP27" s="339"/>
      <c r="BQ27" s="339"/>
      <c r="BR27" s="347"/>
      <c r="BS27" s="339"/>
      <c r="BT27" s="337"/>
      <c r="BU27" s="338"/>
      <c r="BV27" s="340"/>
      <c r="BW27" s="339"/>
      <c r="BX27" s="339"/>
      <c r="BY27" s="347"/>
      <c r="BZ27" s="339"/>
      <c r="CA27" s="337"/>
      <c r="CB27" s="338"/>
      <c r="CC27" s="340"/>
      <c r="CD27" s="339"/>
      <c r="CE27" s="339"/>
      <c r="CF27" s="347"/>
      <c r="CG27" s="360"/>
    </row>
    <row r="28" spans="1:85" s="345" customFormat="1" ht="18" customHeight="1" x14ac:dyDescent="0.15">
      <c r="A28" s="359"/>
      <c r="B28" s="337" t="str">
        <f t="shared" si="0"/>
        <v>Ma</v>
      </c>
      <c r="C28" s="338">
        <f>+C26+1</f>
        <v>44208</v>
      </c>
      <c r="D28" s="344" t="str">
        <f>IF(ISNA(VLOOKUP(C28,TAB_FERIES_PURS,4,FALSE)),"",VLOOKUP(C28,TAB_FERIES_PURS,4,FALSE))</f>
        <v/>
      </c>
      <c r="E28" s="338" t="str">
        <f>IF(MOD(MATCH(C28,Calculs!$R$4:$R$93,1),2)=0,""," ")</f>
        <v/>
      </c>
      <c r="F28" s="338" t="str">
        <f>IF(MOD(MATCH(C28,Calculs!$S$4:$S$93,1),2)=0,""," ")</f>
        <v/>
      </c>
      <c r="G28" s="347" t="str">
        <f>IF(MOD(MATCH(C28,Calculs!$T$4:$T$93,1),2)=0,""," ")</f>
        <v/>
      </c>
      <c r="H28" s="339"/>
      <c r="I28" s="337" t="str">
        <f t="shared" si="1"/>
        <v>Ve</v>
      </c>
      <c r="J28" s="338">
        <f>+J26+1</f>
        <v>44239</v>
      </c>
      <c r="K28" s="344" t="str">
        <f>IF(ISNA(VLOOKUP(J28,TAB_FERIES_PURS,4,FALSE)),"",VLOOKUP(J28,TAB_FERIES_PURS,4,FALSE))</f>
        <v/>
      </c>
      <c r="L28" s="338" t="str">
        <f>IF(MOD(MATCH(J28,Calculs!$R$4:$R$93,1),2)=0,""," ")</f>
        <v xml:space="preserve"> </v>
      </c>
      <c r="M28" s="338" t="str">
        <f>IF(MOD(MATCH(J28,Calculs!$S$4:$S$93,1),2)=0,""," ")</f>
        <v/>
      </c>
      <c r="N28" s="347" t="str">
        <f>IF(MOD(MATCH(J28,Calculs!$T$4:$T$93,1),2)=0,""," ")</f>
        <v/>
      </c>
      <c r="O28" s="339"/>
      <c r="P28" s="337" t="str">
        <f t="shared" si="2"/>
        <v>Ve</v>
      </c>
      <c r="Q28" s="338">
        <f>+Q26+1</f>
        <v>44267</v>
      </c>
      <c r="R28" s="344" t="str">
        <f>IF(ISNA(VLOOKUP(Q28,TAB_FERIES_PURS,4,FALSE)),"",VLOOKUP(Q28,TAB_FERIES_PURS,4,FALSE))</f>
        <v/>
      </c>
      <c r="S28" s="338" t="str">
        <f>IF(MOD(MATCH(Q28,Calculs!$R$4:$R$93,1),2)=0,""," ")</f>
        <v/>
      </c>
      <c r="T28" s="338" t="str">
        <f>IF(MOD(MATCH(Q28,Calculs!$S$4:$S$93,1),2)=0,""," ")</f>
        <v/>
      </c>
      <c r="U28" s="347" t="str">
        <f>IF(MOD(MATCH(Q28,Calculs!$T$4:$T$93,1),2)=0,""," ")</f>
        <v/>
      </c>
      <c r="V28" s="339"/>
      <c r="W28" s="337" t="str">
        <f t="shared" si="3"/>
        <v>Lu</v>
      </c>
      <c r="X28" s="338">
        <f>+X26+1</f>
        <v>44298</v>
      </c>
      <c r="Y28" s="344" t="str">
        <f>IF(ISNA(VLOOKUP(X28,TAB_FERIES_PURS,4,FALSE)),"",VLOOKUP(X28,TAB_FERIES_PURS,4,FALSE))</f>
        <v/>
      </c>
      <c r="Z28" s="338" t="str">
        <f>IF(MOD(MATCH(X28,Calculs!$R$4:$R$93,1),2)=0,""," ")</f>
        <v xml:space="preserve"> </v>
      </c>
      <c r="AA28" s="338" t="str">
        <f>IF(MOD(MATCH(X28,Calculs!$S$4:$S$93,1),2)=0,""," ")</f>
        <v/>
      </c>
      <c r="AB28" s="347" t="str">
        <f>IF(MOD(MATCH(X28,Calculs!$T$4:$T$93,1),2)=0,""," ")</f>
        <v/>
      </c>
      <c r="AC28" s="339"/>
      <c r="AD28" s="337" t="str">
        <f t="shared" si="4"/>
        <v>Me</v>
      </c>
      <c r="AE28" s="338">
        <f>+AE26+1</f>
        <v>44328</v>
      </c>
      <c r="AF28" s="344" t="str">
        <f>IF(ISNA(VLOOKUP(AE28,TAB_FERIES_PURS,4,FALSE)),"",VLOOKUP(AE28,TAB_FERIES_PURS,4,FALSE))</f>
        <v/>
      </c>
      <c r="AG28" s="338" t="str">
        <f>IF(MOD(MATCH(AE28,Calculs!$R$4:$R$93,1),2)=0,""," ")</f>
        <v/>
      </c>
      <c r="AH28" s="338" t="str">
        <f>IF(MOD(MATCH(AE28,Calculs!$S$4:$S$93,1),2)=0,""," ")</f>
        <v/>
      </c>
      <c r="AI28" s="347" t="str">
        <f>IF(MOD(MATCH(AE28,Calculs!$T$4:$T$93,1),2)=0,""," ")</f>
        <v/>
      </c>
      <c r="AJ28" s="339"/>
      <c r="AK28" s="337" t="str">
        <f t="shared" si="5"/>
        <v>Sa</v>
      </c>
      <c r="AL28" s="338">
        <f>+AL26+1</f>
        <v>44359</v>
      </c>
      <c r="AM28" s="344" t="str">
        <f>IF(ISNA(VLOOKUP(AL28,TAB_FERIES_PURS,4,FALSE)),"",VLOOKUP(AL28,TAB_FERIES_PURS,4,FALSE))</f>
        <v/>
      </c>
      <c r="AN28" s="338" t="str">
        <f>IF(MOD(MATCH(AL28,Calculs!$R$4:$R$93,1),2)=0,""," ")</f>
        <v/>
      </c>
      <c r="AO28" s="338" t="str">
        <f>IF(MOD(MATCH(AL28,Calculs!$S$4:$S$93,1),2)=0,""," ")</f>
        <v/>
      </c>
      <c r="AP28" s="347" t="str">
        <f>IF(MOD(MATCH(AL28,Calculs!$T$4:$T$93,1),2)=0,""," ")</f>
        <v/>
      </c>
      <c r="AQ28" s="339"/>
      <c r="AR28" s="337" t="str">
        <f t="shared" si="6"/>
        <v>Lu</v>
      </c>
      <c r="AS28" s="338">
        <f>+AS26+1</f>
        <v>44389</v>
      </c>
      <c r="AT28" s="344" t="str">
        <f>IF(ISNA(VLOOKUP(AS28,TAB_FERIES_PURS,4,FALSE)),"",VLOOKUP(AS28,TAB_FERIES_PURS,4,FALSE))</f>
        <v/>
      </c>
      <c r="AU28" s="338" t="str">
        <f>IF(MOD(MATCH(AS28,Calculs!$R$4:$R$93,1),2)=0,""," ")</f>
        <v xml:space="preserve"> </v>
      </c>
      <c r="AV28" s="338" t="str">
        <f>IF(MOD(MATCH(AS28,Calculs!$S$4:$S$93,1),2)=0,""," ")</f>
        <v xml:space="preserve"> </v>
      </c>
      <c r="AW28" s="347" t="str">
        <f>IF(MOD(MATCH(AS28,Calculs!$T$4:$T$93,1),2)=0,""," ")</f>
        <v xml:space="preserve"> </v>
      </c>
      <c r="AX28" s="339"/>
      <c r="AY28" s="337" t="str">
        <f t="shared" si="7"/>
        <v>Je</v>
      </c>
      <c r="AZ28" s="338">
        <f>+AZ26+1</f>
        <v>44420</v>
      </c>
      <c r="BA28" s="344" t="str">
        <f>IF(ISNA(VLOOKUP(AZ28,TAB_FERIES_PURS,4,FALSE)),"",VLOOKUP(AZ28,TAB_FERIES_PURS,4,FALSE))</f>
        <v/>
      </c>
      <c r="BB28" s="338" t="str">
        <f>IF(MOD(MATCH(AZ28,Calculs!$R$4:$R$93,1),2)=0,""," ")</f>
        <v xml:space="preserve"> </v>
      </c>
      <c r="BC28" s="338" t="str">
        <f>IF(MOD(MATCH(AZ28,Calculs!$S$4:$S$93,1),2)=0,""," ")</f>
        <v xml:space="preserve"> </v>
      </c>
      <c r="BD28" s="347" t="str">
        <f>IF(MOD(MATCH(AZ28,Calculs!$T$4:$T$93,1),2)=0,""," ")</f>
        <v xml:space="preserve"> </v>
      </c>
      <c r="BE28" s="339"/>
      <c r="BF28" s="337" t="str">
        <f t="shared" si="8"/>
        <v>Di</v>
      </c>
      <c r="BG28" s="338">
        <f>+BG26+1</f>
        <v>44451</v>
      </c>
      <c r="BH28" s="344" t="str">
        <f>IF(ISNA(VLOOKUP(BG28,TAB_FERIES_PURS,4,FALSE)),"",VLOOKUP(BG28,TAB_FERIES_PURS,4,FALSE))</f>
        <v/>
      </c>
      <c r="BI28" s="338" t="str">
        <f>IF(MOD(MATCH(BG28,Calculs!$R$4:$R$93,1),2)=0,""," ")</f>
        <v/>
      </c>
      <c r="BJ28" s="338" t="str">
        <f>IF(MOD(MATCH(BG28,Calculs!$S$4:$S$93,1),2)=0,""," ")</f>
        <v/>
      </c>
      <c r="BK28" s="347" t="str">
        <f>IF(MOD(MATCH(BG28,Calculs!$T$4:$T$93,1),2)=0,""," ")</f>
        <v/>
      </c>
      <c r="BL28" s="339"/>
      <c r="BM28" s="337" t="str">
        <f t="shared" si="9"/>
        <v>Ma</v>
      </c>
      <c r="BN28" s="338">
        <f>+BN26+1</f>
        <v>44481</v>
      </c>
      <c r="BO28" s="344" t="str">
        <f>IF(ISNA(VLOOKUP(BN28,TAB_FERIES_PURS,4,FALSE)),"",VLOOKUP(BN28,TAB_FERIES_PURS,4,FALSE))</f>
        <v/>
      </c>
      <c r="BP28" s="338" t="str">
        <f>IF(MOD(MATCH(BN28,Calculs!$R$4:$R$93,1),2)=0,""," ")</f>
        <v/>
      </c>
      <c r="BQ28" s="338" t="str">
        <f>IF(MOD(MATCH(BN28,Calculs!$S$4:$S$93,1),2)=0,""," ")</f>
        <v/>
      </c>
      <c r="BR28" s="347" t="str">
        <f>IF(MOD(MATCH(BN28,Calculs!$T$4:$T$93,1),2)=0,""," ")</f>
        <v/>
      </c>
      <c r="BS28" s="339"/>
      <c r="BT28" s="337" t="str">
        <f t="shared" si="10"/>
        <v>Ve</v>
      </c>
      <c r="BU28" s="338">
        <f>+BU26+1</f>
        <v>44512</v>
      </c>
      <c r="BV28" s="344" t="str">
        <f>IF(ISNA(VLOOKUP(BU28,TAB_FERIES_PURS,4,FALSE)),"",VLOOKUP(BU28,TAB_FERIES_PURS,4,FALSE))</f>
        <v/>
      </c>
      <c r="BW28" s="338" t="str">
        <f>IF(MOD(MATCH(BU28,Calculs!$R$4:$R$93,1),2)=0,""," ")</f>
        <v/>
      </c>
      <c r="BX28" s="338" t="str">
        <f>IF(MOD(MATCH(BU28,Calculs!$S$4:$S$93,1),2)=0,""," ")</f>
        <v/>
      </c>
      <c r="BY28" s="347" t="str">
        <f>IF(MOD(MATCH(BU28,Calculs!$T$4:$T$93,1),2)=0,""," ")</f>
        <v/>
      </c>
      <c r="BZ28" s="339"/>
      <c r="CA28" s="337" t="str">
        <f t="shared" si="11"/>
        <v>Di</v>
      </c>
      <c r="CB28" s="338">
        <f>+CB26+1</f>
        <v>44542</v>
      </c>
      <c r="CC28" s="344" t="str">
        <f>IF(ISNA(VLOOKUP(CB28,TAB_FERIES_PURS,4,FALSE)),"",VLOOKUP(CB28,TAB_FERIES_PURS,4,FALSE))</f>
        <v/>
      </c>
      <c r="CD28" s="338" t="str">
        <f>IF(MOD(MATCH(CB28,Calculs!$R$4:$R$93,1),2)=0,""," ")</f>
        <v/>
      </c>
      <c r="CE28" s="338" t="str">
        <f>IF(MOD(MATCH(CB28,Calculs!$S$4:$S$93,1),2)=0,""," ")</f>
        <v/>
      </c>
      <c r="CF28" s="347" t="str">
        <f>IF(MOD(MATCH(CB28,Calculs!$T$4:$T$93,1),2)=0,""," ")</f>
        <v/>
      </c>
      <c r="CG28" s="360"/>
    </row>
    <row r="29" spans="1:85" s="345" customFormat="1" ht="4" customHeight="1" x14ac:dyDescent="0.15">
      <c r="A29" s="359"/>
      <c r="B29" s="337"/>
      <c r="C29" s="338"/>
      <c r="D29" s="340"/>
      <c r="E29" s="339"/>
      <c r="F29" s="339"/>
      <c r="G29" s="347"/>
      <c r="H29" s="339"/>
      <c r="I29" s="337"/>
      <c r="J29" s="338"/>
      <c r="K29" s="340"/>
      <c r="L29" s="339"/>
      <c r="M29" s="339"/>
      <c r="N29" s="347"/>
      <c r="O29" s="339"/>
      <c r="P29" s="337"/>
      <c r="Q29" s="338"/>
      <c r="R29" s="340"/>
      <c r="S29" s="339"/>
      <c r="T29" s="339"/>
      <c r="U29" s="347"/>
      <c r="V29" s="339"/>
      <c r="W29" s="337"/>
      <c r="X29" s="338"/>
      <c r="Y29" s="340"/>
      <c r="Z29" s="339"/>
      <c r="AA29" s="339"/>
      <c r="AB29" s="347"/>
      <c r="AC29" s="339"/>
      <c r="AD29" s="337"/>
      <c r="AE29" s="338"/>
      <c r="AF29" s="340"/>
      <c r="AG29" s="339"/>
      <c r="AH29" s="339"/>
      <c r="AI29" s="347"/>
      <c r="AJ29" s="339"/>
      <c r="AK29" s="337"/>
      <c r="AL29" s="338"/>
      <c r="AM29" s="340"/>
      <c r="AN29" s="339"/>
      <c r="AO29" s="339"/>
      <c r="AP29" s="347"/>
      <c r="AQ29" s="339"/>
      <c r="AR29" s="337"/>
      <c r="AS29" s="338"/>
      <c r="AT29" s="340"/>
      <c r="AU29" s="339"/>
      <c r="AV29" s="339"/>
      <c r="AW29" s="347"/>
      <c r="AX29" s="339"/>
      <c r="AY29" s="337"/>
      <c r="AZ29" s="338"/>
      <c r="BA29" s="340"/>
      <c r="BB29" s="339"/>
      <c r="BC29" s="339"/>
      <c r="BD29" s="347"/>
      <c r="BE29" s="339"/>
      <c r="BF29" s="337"/>
      <c r="BG29" s="338"/>
      <c r="BH29" s="340"/>
      <c r="BI29" s="339"/>
      <c r="BJ29" s="339"/>
      <c r="BK29" s="347"/>
      <c r="BL29" s="339"/>
      <c r="BM29" s="337"/>
      <c r="BN29" s="338"/>
      <c r="BO29" s="340"/>
      <c r="BP29" s="339"/>
      <c r="BQ29" s="339"/>
      <c r="BR29" s="347"/>
      <c r="BS29" s="339"/>
      <c r="BT29" s="337"/>
      <c r="BU29" s="338"/>
      <c r="BV29" s="340"/>
      <c r="BW29" s="339"/>
      <c r="BX29" s="339"/>
      <c r="BY29" s="347"/>
      <c r="BZ29" s="339"/>
      <c r="CA29" s="337"/>
      <c r="CB29" s="338"/>
      <c r="CC29" s="340"/>
      <c r="CD29" s="339"/>
      <c r="CE29" s="339"/>
      <c r="CF29" s="347"/>
      <c r="CG29" s="360"/>
    </row>
    <row r="30" spans="1:85" s="345" customFormat="1" ht="18" customHeight="1" x14ac:dyDescent="0.15">
      <c r="A30" s="359"/>
      <c r="B30" s="337" t="str">
        <f t="shared" si="0"/>
        <v>Me</v>
      </c>
      <c r="C30" s="338">
        <f>+C28+1</f>
        <v>44209</v>
      </c>
      <c r="D30" s="344" t="str">
        <f>IF(ISNA(VLOOKUP(C30,TAB_FERIES_PURS,4,FALSE)),"",VLOOKUP(C30,TAB_FERIES_PURS,4,FALSE))</f>
        <v/>
      </c>
      <c r="E30" s="338" t="str">
        <f>IF(MOD(MATCH(C30,Calculs!$R$4:$R$93,1),2)=0,""," ")</f>
        <v/>
      </c>
      <c r="F30" s="338" t="str">
        <f>IF(MOD(MATCH(C30,Calculs!$S$4:$S$93,1),2)=0,""," ")</f>
        <v/>
      </c>
      <c r="G30" s="347" t="str">
        <f>IF(MOD(MATCH(C30,Calculs!$T$4:$T$93,1),2)=0,""," ")</f>
        <v/>
      </c>
      <c r="H30" s="339"/>
      <c r="I30" s="337" t="str">
        <f t="shared" si="1"/>
        <v>Sa</v>
      </c>
      <c r="J30" s="338">
        <f>+J28+1</f>
        <v>44240</v>
      </c>
      <c r="K30" s="344" t="str">
        <f>IF(ISNA(VLOOKUP(J30,TAB_FERIES_PURS,4,FALSE)),"",VLOOKUP(J30,TAB_FERIES_PURS,4,FALSE))</f>
        <v/>
      </c>
      <c r="L30" s="338" t="str">
        <f>IF(MOD(MATCH(J30,Calculs!$R$4:$R$93,1),2)=0,""," ")</f>
        <v xml:space="preserve"> </v>
      </c>
      <c r="M30" s="338" t="str">
        <f>IF(MOD(MATCH(J30,Calculs!$S$4:$S$93,1),2)=0,""," ")</f>
        <v/>
      </c>
      <c r="N30" s="347" t="str">
        <f>IF(MOD(MATCH(J30,Calculs!$T$4:$T$93,1),2)=0,""," ")</f>
        <v xml:space="preserve"> </v>
      </c>
      <c r="O30" s="339"/>
      <c r="P30" s="337" t="str">
        <f t="shared" si="2"/>
        <v>Sa</v>
      </c>
      <c r="Q30" s="338">
        <f>+Q28+1</f>
        <v>44268</v>
      </c>
      <c r="R30" s="344" t="str">
        <f>IF(ISNA(VLOOKUP(Q30,TAB_FERIES_PURS,4,FALSE)),"",VLOOKUP(Q30,TAB_FERIES_PURS,4,FALSE))</f>
        <v/>
      </c>
      <c r="S30" s="338" t="str">
        <f>IF(MOD(MATCH(Q30,Calculs!$R$4:$R$93,1),2)=0,""," ")</f>
        <v/>
      </c>
      <c r="T30" s="338" t="str">
        <f>IF(MOD(MATCH(Q30,Calculs!$S$4:$S$93,1),2)=0,""," ")</f>
        <v/>
      </c>
      <c r="U30" s="347" t="str">
        <f>IF(MOD(MATCH(Q30,Calculs!$T$4:$T$93,1),2)=0,""," ")</f>
        <v/>
      </c>
      <c r="V30" s="339"/>
      <c r="W30" s="337" t="str">
        <f t="shared" si="3"/>
        <v>Ma</v>
      </c>
      <c r="X30" s="338">
        <f>+X28+1</f>
        <v>44299</v>
      </c>
      <c r="Y30" s="344" t="str">
        <f>IF(ISNA(VLOOKUP(X30,TAB_FERIES_PURS,4,FALSE)),"",VLOOKUP(X30,TAB_FERIES_PURS,4,FALSE))</f>
        <v/>
      </c>
      <c r="Z30" s="338" t="str">
        <f>IF(MOD(MATCH(X30,Calculs!$R$4:$R$93,1),2)=0,""," ")</f>
        <v xml:space="preserve"> </v>
      </c>
      <c r="AA30" s="338" t="str">
        <f>IF(MOD(MATCH(X30,Calculs!$S$4:$S$93,1),2)=0,""," ")</f>
        <v/>
      </c>
      <c r="AB30" s="347" t="str">
        <f>IF(MOD(MATCH(X30,Calculs!$T$4:$T$93,1),2)=0,""," ")</f>
        <v/>
      </c>
      <c r="AC30" s="339"/>
      <c r="AD30" s="337" t="str">
        <f t="shared" si="4"/>
        <v>Je</v>
      </c>
      <c r="AE30" s="338">
        <f>+AE28+1</f>
        <v>44329</v>
      </c>
      <c r="AF30" s="344" t="str">
        <f>IF(ISNA(VLOOKUP(AE30,TAB_FERIES_PURS,4,FALSE)),"",VLOOKUP(AE30,TAB_FERIES_PURS,4,FALSE))</f>
        <v>F</v>
      </c>
      <c r="AG30" s="338" t="str">
        <f>IF(MOD(MATCH(AE30,Calculs!$R$4:$R$93,1),2)=0,""," ")</f>
        <v xml:space="preserve"> </v>
      </c>
      <c r="AH30" s="338" t="str">
        <f>IF(MOD(MATCH(AE30,Calculs!$S$4:$S$93,1),2)=0,""," ")</f>
        <v xml:space="preserve"> </v>
      </c>
      <c r="AI30" s="347" t="str">
        <f>IF(MOD(MATCH(AE30,Calculs!$T$4:$T$93,1),2)=0,""," ")</f>
        <v xml:space="preserve"> </v>
      </c>
      <c r="AJ30" s="339"/>
      <c r="AK30" s="337" t="str">
        <f t="shared" si="5"/>
        <v>Di</v>
      </c>
      <c r="AL30" s="338">
        <f>+AL28+1</f>
        <v>44360</v>
      </c>
      <c r="AM30" s="344" t="str">
        <f>IF(ISNA(VLOOKUP(AL30,TAB_FERIES_PURS,4,FALSE)),"",VLOOKUP(AL30,TAB_FERIES_PURS,4,FALSE))</f>
        <v/>
      </c>
      <c r="AN30" s="338" t="str">
        <f>IF(MOD(MATCH(AL30,Calculs!$R$4:$R$93,1),2)=0,""," ")</f>
        <v/>
      </c>
      <c r="AO30" s="338" t="str">
        <f>IF(MOD(MATCH(AL30,Calculs!$S$4:$S$93,1),2)=0,""," ")</f>
        <v/>
      </c>
      <c r="AP30" s="347" t="str">
        <f>IF(MOD(MATCH(AL30,Calculs!$T$4:$T$93,1),2)=0,""," ")</f>
        <v/>
      </c>
      <c r="AQ30" s="339"/>
      <c r="AR30" s="337" t="str">
        <f t="shared" si="6"/>
        <v>Ma</v>
      </c>
      <c r="AS30" s="338">
        <f>+AS28+1</f>
        <v>44390</v>
      </c>
      <c r="AT30" s="344" t="str">
        <f>IF(ISNA(VLOOKUP(AS30,TAB_FERIES_PURS,4,FALSE)),"",VLOOKUP(AS30,TAB_FERIES_PURS,4,FALSE))</f>
        <v/>
      </c>
      <c r="AU30" s="338" t="str">
        <f>IF(MOD(MATCH(AS30,Calculs!$R$4:$R$93,1),2)=0,""," ")</f>
        <v xml:space="preserve"> </v>
      </c>
      <c r="AV30" s="338" t="str">
        <f>IF(MOD(MATCH(AS30,Calculs!$S$4:$S$93,1),2)=0,""," ")</f>
        <v xml:space="preserve"> </v>
      </c>
      <c r="AW30" s="347" t="str">
        <f>IF(MOD(MATCH(AS30,Calculs!$T$4:$T$93,1),2)=0,""," ")</f>
        <v xml:space="preserve"> </v>
      </c>
      <c r="AX30" s="339"/>
      <c r="AY30" s="337" t="str">
        <f t="shared" si="7"/>
        <v>Ve</v>
      </c>
      <c r="AZ30" s="338">
        <f>+AZ28+1</f>
        <v>44421</v>
      </c>
      <c r="BA30" s="344" t="str">
        <f>IF(ISNA(VLOOKUP(AZ30,TAB_FERIES_PURS,4,FALSE)),"",VLOOKUP(AZ30,TAB_FERIES_PURS,4,FALSE))</f>
        <v/>
      </c>
      <c r="BB30" s="338" t="str">
        <f>IF(MOD(MATCH(AZ30,Calculs!$R$4:$R$93,1),2)=0,""," ")</f>
        <v xml:space="preserve"> </v>
      </c>
      <c r="BC30" s="338" t="str">
        <f>IF(MOD(MATCH(AZ30,Calculs!$S$4:$S$93,1),2)=0,""," ")</f>
        <v xml:space="preserve"> </v>
      </c>
      <c r="BD30" s="347" t="str">
        <f>IF(MOD(MATCH(AZ30,Calculs!$T$4:$T$93,1),2)=0,""," ")</f>
        <v xml:space="preserve"> </v>
      </c>
      <c r="BE30" s="339"/>
      <c r="BF30" s="337" t="str">
        <f t="shared" si="8"/>
        <v>Lu</v>
      </c>
      <c r="BG30" s="338">
        <f>+BG28+1</f>
        <v>44452</v>
      </c>
      <c r="BH30" s="344" t="str">
        <f>IF(ISNA(VLOOKUP(BG30,TAB_FERIES_PURS,4,FALSE)),"",VLOOKUP(BG30,TAB_FERIES_PURS,4,FALSE))</f>
        <v/>
      </c>
      <c r="BI30" s="338" t="str">
        <f>IF(MOD(MATCH(BG30,Calculs!$R$4:$R$93,1),2)=0,""," ")</f>
        <v/>
      </c>
      <c r="BJ30" s="338" t="str">
        <f>IF(MOD(MATCH(BG30,Calculs!$S$4:$S$93,1),2)=0,""," ")</f>
        <v/>
      </c>
      <c r="BK30" s="347" t="str">
        <f>IF(MOD(MATCH(BG30,Calculs!$T$4:$T$93,1),2)=0,""," ")</f>
        <v/>
      </c>
      <c r="BL30" s="339"/>
      <c r="BM30" s="337" t="str">
        <f t="shared" si="9"/>
        <v>Me</v>
      </c>
      <c r="BN30" s="338">
        <f>+BN28+1</f>
        <v>44482</v>
      </c>
      <c r="BO30" s="344" t="str">
        <f>IF(ISNA(VLOOKUP(BN30,TAB_FERIES_PURS,4,FALSE)),"",VLOOKUP(BN30,TAB_FERIES_PURS,4,FALSE))</f>
        <v/>
      </c>
      <c r="BP30" s="338" t="str">
        <f>IF(MOD(MATCH(BN30,Calculs!$R$4:$R$93,1),2)=0,""," ")</f>
        <v/>
      </c>
      <c r="BQ30" s="338" t="str">
        <f>IF(MOD(MATCH(BN30,Calculs!$S$4:$S$93,1),2)=0,""," ")</f>
        <v/>
      </c>
      <c r="BR30" s="347" t="str">
        <f>IF(MOD(MATCH(BN30,Calculs!$T$4:$T$93,1),2)=0,""," ")</f>
        <v/>
      </c>
      <c r="BS30" s="339"/>
      <c r="BT30" s="337" t="str">
        <f t="shared" si="10"/>
        <v>Sa</v>
      </c>
      <c r="BU30" s="338">
        <f>+BU28+1</f>
        <v>44513</v>
      </c>
      <c r="BV30" s="344" t="str">
        <f>IF(ISNA(VLOOKUP(BU30,TAB_FERIES_PURS,4,FALSE)),"",VLOOKUP(BU30,TAB_FERIES_PURS,4,FALSE))</f>
        <v/>
      </c>
      <c r="BW30" s="338" t="str">
        <f>IF(MOD(MATCH(BU30,Calculs!$R$4:$R$93,1),2)=0,""," ")</f>
        <v/>
      </c>
      <c r="BX30" s="338" t="str">
        <f>IF(MOD(MATCH(BU30,Calculs!$S$4:$S$93,1),2)=0,""," ")</f>
        <v/>
      </c>
      <c r="BY30" s="347" t="str">
        <f>IF(MOD(MATCH(BU30,Calculs!$T$4:$T$93,1),2)=0,""," ")</f>
        <v/>
      </c>
      <c r="BZ30" s="339"/>
      <c r="CA30" s="337" t="str">
        <f t="shared" si="11"/>
        <v>Lu</v>
      </c>
      <c r="CB30" s="338">
        <f>+CB28+1</f>
        <v>44543</v>
      </c>
      <c r="CC30" s="344" t="str">
        <f>IF(ISNA(VLOOKUP(CB30,TAB_FERIES_PURS,4,FALSE)),"",VLOOKUP(CB30,TAB_FERIES_PURS,4,FALSE))</f>
        <v/>
      </c>
      <c r="CD30" s="338" t="str">
        <f>IF(MOD(MATCH(CB30,Calculs!$R$4:$R$93,1),2)=0,""," ")</f>
        <v/>
      </c>
      <c r="CE30" s="338" t="str">
        <f>IF(MOD(MATCH(CB30,Calculs!$S$4:$S$93,1),2)=0,""," ")</f>
        <v/>
      </c>
      <c r="CF30" s="347" t="str">
        <f>IF(MOD(MATCH(CB30,Calculs!$T$4:$T$93,1),2)=0,""," ")</f>
        <v/>
      </c>
      <c r="CG30" s="360"/>
    </row>
    <row r="31" spans="1:85" s="345" customFormat="1" ht="4" customHeight="1" x14ac:dyDescent="0.15">
      <c r="A31" s="359"/>
      <c r="B31" s="337"/>
      <c r="C31" s="338"/>
      <c r="D31" s="340"/>
      <c r="E31" s="339"/>
      <c r="F31" s="339"/>
      <c r="G31" s="347"/>
      <c r="H31" s="339"/>
      <c r="I31" s="337"/>
      <c r="J31" s="338"/>
      <c r="K31" s="340"/>
      <c r="L31" s="339"/>
      <c r="M31" s="339"/>
      <c r="N31" s="347"/>
      <c r="O31" s="339"/>
      <c r="P31" s="337"/>
      <c r="Q31" s="338"/>
      <c r="R31" s="340"/>
      <c r="S31" s="339"/>
      <c r="T31" s="339"/>
      <c r="U31" s="347"/>
      <c r="V31" s="339"/>
      <c r="W31" s="337"/>
      <c r="X31" s="338"/>
      <c r="Y31" s="340"/>
      <c r="Z31" s="339"/>
      <c r="AA31" s="339"/>
      <c r="AB31" s="347"/>
      <c r="AC31" s="339"/>
      <c r="AD31" s="337"/>
      <c r="AE31" s="338"/>
      <c r="AF31" s="340"/>
      <c r="AG31" s="339"/>
      <c r="AH31" s="339"/>
      <c r="AI31" s="347"/>
      <c r="AJ31" s="339"/>
      <c r="AK31" s="337"/>
      <c r="AL31" s="338"/>
      <c r="AM31" s="340"/>
      <c r="AN31" s="339"/>
      <c r="AO31" s="339"/>
      <c r="AP31" s="347"/>
      <c r="AQ31" s="339"/>
      <c r="AR31" s="337"/>
      <c r="AS31" s="338"/>
      <c r="AT31" s="340"/>
      <c r="AU31" s="339"/>
      <c r="AV31" s="339"/>
      <c r="AW31" s="347"/>
      <c r="AX31" s="339"/>
      <c r="AY31" s="337"/>
      <c r="AZ31" s="338"/>
      <c r="BA31" s="340"/>
      <c r="BB31" s="339"/>
      <c r="BC31" s="339"/>
      <c r="BD31" s="347"/>
      <c r="BE31" s="339"/>
      <c r="BF31" s="337"/>
      <c r="BG31" s="338"/>
      <c r="BH31" s="340"/>
      <c r="BI31" s="339"/>
      <c r="BJ31" s="339"/>
      <c r="BK31" s="347"/>
      <c r="BL31" s="339"/>
      <c r="BM31" s="337"/>
      <c r="BN31" s="338"/>
      <c r="BO31" s="340"/>
      <c r="BP31" s="339"/>
      <c r="BQ31" s="339"/>
      <c r="BR31" s="347"/>
      <c r="BS31" s="339"/>
      <c r="BT31" s="337"/>
      <c r="BU31" s="338"/>
      <c r="BV31" s="340"/>
      <c r="BW31" s="339"/>
      <c r="BX31" s="339"/>
      <c r="BY31" s="347"/>
      <c r="BZ31" s="339"/>
      <c r="CA31" s="337"/>
      <c r="CB31" s="338"/>
      <c r="CC31" s="340"/>
      <c r="CD31" s="339"/>
      <c r="CE31" s="339"/>
      <c r="CF31" s="347"/>
      <c r="CG31" s="360"/>
    </row>
    <row r="32" spans="1:85" s="345" customFormat="1" ht="18" customHeight="1" x14ac:dyDescent="0.15">
      <c r="A32" s="359"/>
      <c r="B32" s="337" t="str">
        <f t="shared" si="0"/>
        <v>Je</v>
      </c>
      <c r="C32" s="338">
        <f>+C30+1</f>
        <v>44210</v>
      </c>
      <c r="D32" s="344" t="str">
        <f>IF(ISNA(VLOOKUP(C32,TAB_FERIES_PURS,4,FALSE)),"",VLOOKUP(C32,TAB_FERIES_PURS,4,FALSE))</f>
        <v/>
      </c>
      <c r="E32" s="338" t="str">
        <f>IF(MOD(MATCH(C32,Calculs!$R$4:$R$93,1),2)=0,""," ")</f>
        <v/>
      </c>
      <c r="F32" s="338" t="str">
        <f>IF(MOD(MATCH(C32,Calculs!$S$4:$S$93,1),2)=0,""," ")</f>
        <v/>
      </c>
      <c r="G32" s="347" t="str">
        <f>IF(MOD(MATCH(C32,Calculs!$T$4:$T$93,1),2)=0,""," ")</f>
        <v/>
      </c>
      <c r="H32" s="339"/>
      <c r="I32" s="337" t="str">
        <f t="shared" si="1"/>
        <v>Di</v>
      </c>
      <c r="J32" s="338">
        <f>+J30+1</f>
        <v>44241</v>
      </c>
      <c r="K32" s="344" t="str">
        <f>IF(ISNA(VLOOKUP(J32,TAB_FERIES_PURS,4,FALSE)),"",VLOOKUP(J32,TAB_FERIES_PURS,4,FALSE))</f>
        <v/>
      </c>
      <c r="L32" s="338" t="str">
        <f>IF(MOD(MATCH(J32,Calculs!$R$4:$R$93,1),2)=0,""," ")</f>
        <v xml:space="preserve"> </v>
      </c>
      <c r="M32" s="338" t="str">
        <f>IF(MOD(MATCH(J32,Calculs!$S$4:$S$93,1),2)=0,""," ")</f>
        <v/>
      </c>
      <c r="N32" s="347" t="str">
        <f>IF(MOD(MATCH(J32,Calculs!$T$4:$T$93,1),2)=0,""," ")</f>
        <v xml:space="preserve"> </v>
      </c>
      <c r="O32" s="339"/>
      <c r="P32" s="337" t="str">
        <f t="shared" si="2"/>
        <v>Di</v>
      </c>
      <c r="Q32" s="338">
        <f>+Q30+1</f>
        <v>44269</v>
      </c>
      <c r="R32" s="344" t="str">
        <f>IF(ISNA(VLOOKUP(Q32,TAB_FERIES_PURS,4,FALSE)),"",VLOOKUP(Q32,TAB_FERIES_PURS,4,FALSE))</f>
        <v/>
      </c>
      <c r="S32" s="338" t="str">
        <f>IF(MOD(MATCH(Q32,Calculs!$R$4:$R$93,1),2)=0,""," ")</f>
        <v/>
      </c>
      <c r="T32" s="338" t="str">
        <f>IF(MOD(MATCH(Q32,Calculs!$S$4:$S$93,1),2)=0,""," ")</f>
        <v/>
      </c>
      <c r="U32" s="347" t="str">
        <f>IF(MOD(MATCH(Q32,Calculs!$T$4:$T$93,1),2)=0,""," ")</f>
        <v/>
      </c>
      <c r="V32" s="339"/>
      <c r="W32" s="337" t="str">
        <f t="shared" si="3"/>
        <v>Me</v>
      </c>
      <c r="X32" s="338">
        <f>+X30+1</f>
        <v>44300</v>
      </c>
      <c r="Y32" s="344" t="str">
        <f>IF(ISNA(VLOOKUP(X32,TAB_FERIES_PURS,4,FALSE)),"",VLOOKUP(X32,TAB_FERIES_PURS,4,FALSE))</f>
        <v/>
      </c>
      <c r="Z32" s="338" t="str">
        <f>IF(MOD(MATCH(X32,Calculs!$R$4:$R$93,1),2)=0,""," ")</f>
        <v xml:space="preserve"> </v>
      </c>
      <c r="AA32" s="338" t="str">
        <f>IF(MOD(MATCH(X32,Calculs!$S$4:$S$93,1),2)=0,""," ")</f>
        <v/>
      </c>
      <c r="AB32" s="347" t="str">
        <f>IF(MOD(MATCH(X32,Calculs!$T$4:$T$93,1),2)=0,""," ")</f>
        <v/>
      </c>
      <c r="AC32" s="339"/>
      <c r="AD32" s="337" t="str">
        <f t="shared" si="4"/>
        <v>Ve</v>
      </c>
      <c r="AE32" s="338">
        <f>+AE30+1</f>
        <v>44330</v>
      </c>
      <c r="AF32" s="344" t="str">
        <f>IF(ISNA(VLOOKUP(AE32,TAB_FERIES_PURS,4,FALSE)),"",VLOOKUP(AE32,TAB_FERIES_PURS,4,FALSE))</f>
        <v/>
      </c>
      <c r="AG32" s="338" t="str">
        <f>IF(MOD(MATCH(AE32,Calculs!$R$4:$R$93,1),2)=0,""," ")</f>
        <v xml:space="preserve"> </v>
      </c>
      <c r="AH32" s="338" t="str">
        <f>IF(MOD(MATCH(AE32,Calculs!$S$4:$S$93,1),2)=0,""," ")</f>
        <v xml:space="preserve"> </v>
      </c>
      <c r="AI32" s="347" t="str">
        <f>IF(MOD(MATCH(AE32,Calculs!$T$4:$T$93,1),2)=0,""," ")</f>
        <v xml:space="preserve"> </v>
      </c>
      <c r="AJ32" s="339"/>
      <c r="AK32" s="337" t="str">
        <f t="shared" si="5"/>
        <v>Lu</v>
      </c>
      <c r="AL32" s="338">
        <f>+AL30+1</f>
        <v>44361</v>
      </c>
      <c r="AM32" s="344" t="str">
        <f>IF(ISNA(VLOOKUP(AL32,TAB_FERIES_PURS,4,FALSE)),"",VLOOKUP(AL32,TAB_FERIES_PURS,4,FALSE))</f>
        <v/>
      </c>
      <c r="AN32" s="338" t="str">
        <f>IF(MOD(MATCH(AL32,Calculs!$R$4:$R$93,1),2)=0,""," ")</f>
        <v/>
      </c>
      <c r="AO32" s="338" t="str">
        <f>IF(MOD(MATCH(AL32,Calculs!$S$4:$S$93,1),2)=0,""," ")</f>
        <v/>
      </c>
      <c r="AP32" s="347" t="str">
        <f>IF(MOD(MATCH(AL32,Calculs!$T$4:$T$93,1),2)=0,""," ")</f>
        <v/>
      </c>
      <c r="AQ32" s="339"/>
      <c r="AR32" s="337" t="str">
        <f t="shared" si="6"/>
        <v>Me</v>
      </c>
      <c r="AS32" s="338">
        <f>+AS30+1</f>
        <v>44391</v>
      </c>
      <c r="AT32" s="344" t="str">
        <f>IF(ISNA(VLOOKUP(AS32,TAB_FERIES_PURS,4,FALSE)),"",VLOOKUP(AS32,TAB_FERIES_PURS,4,FALSE))</f>
        <v>F</v>
      </c>
      <c r="AU32" s="338" t="str">
        <f>IF(MOD(MATCH(AS32,Calculs!$R$4:$R$93,1),2)=0,""," ")</f>
        <v xml:space="preserve"> </v>
      </c>
      <c r="AV32" s="338" t="str">
        <f>IF(MOD(MATCH(AS32,Calculs!$S$4:$S$93,1),2)=0,""," ")</f>
        <v xml:space="preserve"> </v>
      </c>
      <c r="AW32" s="347" t="str">
        <f>IF(MOD(MATCH(AS32,Calculs!$T$4:$T$93,1),2)=0,""," ")</f>
        <v xml:space="preserve"> </v>
      </c>
      <c r="AX32" s="339"/>
      <c r="AY32" s="337" t="str">
        <f t="shared" si="7"/>
        <v>Sa</v>
      </c>
      <c r="AZ32" s="338">
        <f>+AZ30+1</f>
        <v>44422</v>
      </c>
      <c r="BA32" s="344" t="str">
        <f>IF(ISNA(VLOOKUP(AZ32,TAB_FERIES_PURS,4,FALSE)),"",VLOOKUP(AZ32,TAB_FERIES_PURS,4,FALSE))</f>
        <v/>
      </c>
      <c r="BB32" s="338" t="str">
        <f>IF(MOD(MATCH(AZ32,Calculs!$R$4:$R$93,1),2)=0,""," ")</f>
        <v xml:space="preserve"> </v>
      </c>
      <c r="BC32" s="338" t="str">
        <f>IF(MOD(MATCH(AZ32,Calculs!$S$4:$S$93,1),2)=0,""," ")</f>
        <v xml:space="preserve"> </v>
      </c>
      <c r="BD32" s="347" t="str">
        <f>IF(MOD(MATCH(AZ32,Calculs!$T$4:$T$93,1),2)=0,""," ")</f>
        <v xml:space="preserve"> </v>
      </c>
      <c r="BE32" s="339"/>
      <c r="BF32" s="337" t="str">
        <f t="shared" si="8"/>
        <v>Ma</v>
      </c>
      <c r="BG32" s="338">
        <f>+BG30+1</f>
        <v>44453</v>
      </c>
      <c r="BH32" s="344" t="str">
        <f>IF(ISNA(VLOOKUP(BG32,TAB_FERIES_PURS,4,FALSE)),"",VLOOKUP(BG32,TAB_FERIES_PURS,4,FALSE))</f>
        <v/>
      </c>
      <c r="BI32" s="338" t="str">
        <f>IF(MOD(MATCH(BG32,Calculs!$R$4:$R$93,1),2)=0,""," ")</f>
        <v/>
      </c>
      <c r="BJ32" s="338" t="str">
        <f>IF(MOD(MATCH(BG32,Calculs!$S$4:$S$93,1),2)=0,""," ")</f>
        <v/>
      </c>
      <c r="BK32" s="347" t="str">
        <f>IF(MOD(MATCH(BG32,Calculs!$T$4:$T$93,1),2)=0,""," ")</f>
        <v/>
      </c>
      <c r="BL32" s="339"/>
      <c r="BM32" s="337" t="str">
        <f t="shared" si="9"/>
        <v>Je</v>
      </c>
      <c r="BN32" s="338">
        <f>+BN30+1</f>
        <v>44483</v>
      </c>
      <c r="BO32" s="344" t="str">
        <f>IF(ISNA(VLOOKUP(BN32,TAB_FERIES_PURS,4,FALSE)),"",VLOOKUP(BN32,TAB_FERIES_PURS,4,FALSE))</f>
        <v/>
      </c>
      <c r="BP32" s="338" t="str">
        <f>IF(MOD(MATCH(BN32,Calculs!$R$4:$R$93,1),2)=0,""," ")</f>
        <v/>
      </c>
      <c r="BQ32" s="338" t="str">
        <f>IF(MOD(MATCH(BN32,Calculs!$S$4:$S$93,1),2)=0,""," ")</f>
        <v/>
      </c>
      <c r="BR32" s="347" t="str">
        <f>IF(MOD(MATCH(BN32,Calculs!$T$4:$T$93,1),2)=0,""," ")</f>
        <v/>
      </c>
      <c r="BS32" s="339"/>
      <c r="BT32" s="337" t="str">
        <f t="shared" si="10"/>
        <v>Di</v>
      </c>
      <c r="BU32" s="338">
        <f>+BU30+1</f>
        <v>44514</v>
      </c>
      <c r="BV32" s="344" t="str">
        <f>IF(ISNA(VLOOKUP(BU32,TAB_FERIES_PURS,4,FALSE)),"",VLOOKUP(BU32,TAB_FERIES_PURS,4,FALSE))</f>
        <v/>
      </c>
      <c r="BW32" s="338" t="str">
        <f>IF(MOD(MATCH(BU32,Calculs!$R$4:$R$93,1),2)=0,""," ")</f>
        <v/>
      </c>
      <c r="BX32" s="338" t="str">
        <f>IF(MOD(MATCH(BU32,Calculs!$S$4:$S$93,1),2)=0,""," ")</f>
        <v/>
      </c>
      <c r="BY32" s="347" t="str">
        <f>IF(MOD(MATCH(BU32,Calculs!$T$4:$T$93,1),2)=0,""," ")</f>
        <v/>
      </c>
      <c r="BZ32" s="339"/>
      <c r="CA32" s="337" t="str">
        <f t="shared" si="11"/>
        <v>Ma</v>
      </c>
      <c r="CB32" s="338">
        <f>+CB30+1</f>
        <v>44544</v>
      </c>
      <c r="CC32" s="344" t="str">
        <f>IF(ISNA(VLOOKUP(CB32,TAB_FERIES_PURS,4,FALSE)),"",VLOOKUP(CB32,TAB_FERIES_PURS,4,FALSE))</f>
        <v/>
      </c>
      <c r="CD32" s="338" t="str">
        <f>IF(MOD(MATCH(CB32,Calculs!$R$4:$R$93,1),2)=0,""," ")</f>
        <v/>
      </c>
      <c r="CE32" s="338" t="str">
        <f>IF(MOD(MATCH(CB32,Calculs!$S$4:$S$93,1),2)=0,""," ")</f>
        <v/>
      </c>
      <c r="CF32" s="347" t="str">
        <f>IF(MOD(MATCH(CB32,Calculs!$T$4:$T$93,1),2)=0,""," ")</f>
        <v/>
      </c>
      <c r="CG32" s="360"/>
    </row>
    <row r="33" spans="1:85" s="345" customFormat="1" ht="4" customHeight="1" x14ac:dyDescent="0.15">
      <c r="A33" s="359"/>
      <c r="B33" s="337"/>
      <c r="C33" s="338"/>
      <c r="D33" s="340"/>
      <c r="E33" s="339"/>
      <c r="F33" s="339"/>
      <c r="G33" s="347"/>
      <c r="H33" s="339"/>
      <c r="I33" s="337"/>
      <c r="J33" s="338"/>
      <c r="K33" s="340"/>
      <c r="L33" s="339"/>
      <c r="M33" s="339"/>
      <c r="N33" s="347"/>
      <c r="O33" s="339"/>
      <c r="P33" s="337"/>
      <c r="Q33" s="338"/>
      <c r="R33" s="340"/>
      <c r="S33" s="339"/>
      <c r="T33" s="339"/>
      <c r="U33" s="347"/>
      <c r="V33" s="339"/>
      <c r="W33" s="337"/>
      <c r="X33" s="338"/>
      <c r="Y33" s="340"/>
      <c r="Z33" s="339"/>
      <c r="AA33" s="339"/>
      <c r="AB33" s="347"/>
      <c r="AC33" s="339"/>
      <c r="AD33" s="337"/>
      <c r="AE33" s="338"/>
      <c r="AF33" s="340"/>
      <c r="AG33" s="339"/>
      <c r="AH33" s="339"/>
      <c r="AI33" s="347"/>
      <c r="AJ33" s="339"/>
      <c r="AK33" s="337"/>
      <c r="AL33" s="338"/>
      <c r="AM33" s="340"/>
      <c r="AN33" s="339"/>
      <c r="AO33" s="339"/>
      <c r="AP33" s="347"/>
      <c r="AQ33" s="339"/>
      <c r="AR33" s="337"/>
      <c r="AS33" s="338"/>
      <c r="AT33" s="340"/>
      <c r="AU33" s="339"/>
      <c r="AV33" s="339"/>
      <c r="AW33" s="347"/>
      <c r="AX33" s="339"/>
      <c r="AY33" s="337"/>
      <c r="AZ33" s="338"/>
      <c r="BA33" s="340"/>
      <c r="BB33" s="339"/>
      <c r="BC33" s="339"/>
      <c r="BD33" s="347"/>
      <c r="BE33" s="339"/>
      <c r="BF33" s="337"/>
      <c r="BG33" s="338"/>
      <c r="BH33" s="340"/>
      <c r="BI33" s="339"/>
      <c r="BJ33" s="339"/>
      <c r="BK33" s="347"/>
      <c r="BL33" s="339"/>
      <c r="BM33" s="337"/>
      <c r="BN33" s="338"/>
      <c r="BO33" s="340"/>
      <c r="BP33" s="339"/>
      <c r="BQ33" s="339"/>
      <c r="BR33" s="347"/>
      <c r="BS33" s="339"/>
      <c r="BT33" s="337"/>
      <c r="BU33" s="338"/>
      <c r="BV33" s="340"/>
      <c r="BW33" s="339"/>
      <c r="BX33" s="339"/>
      <c r="BY33" s="347"/>
      <c r="BZ33" s="339"/>
      <c r="CA33" s="337"/>
      <c r="CB33" s="338"/>
      <c r="CC33" s="340"/>
      <c r="CD33" s="339"/>
      <c r="CE33" s="339"/>
      <c r="CF33" s="347"/>
      <c r="CG33" s="360"/>
    </row>
    <row r="34" spans="1:85" s="345" customFormat="1" ht="18" customHeight="1" x14ac:dyDescent="0.15">
      <c r="A34" s="359"/>
      <c r="B34" s="337" t="str">
        <f t="shared" si="0"/>
        <v>Ve</v>
      </c>
      <c r="C34" s="338">
        <f>+C32+1</f>
        <v>44211</v>
      </c>
      <c r="D34" s="344" t="str">
        <f>IF(ISNA(VLOOKUP(C34,TAB_FERIES_PURS,4,FALSE)),"",VLOOKUP(C34,TAB_FERIES_PURS,4,FALSE))</f>
        <v/>
      </c>
      <c r="E34" s="338" t="str">
        <f>IF(MOD(MATCH(C34,Calculs!$R$4:$R$93,1),2)=0,""," ")</f>
        <v/>
      </c>
      <c r="F34" s="338" t="str">
        <f>IF(MOD(MATCH(C34,Calculs!$S$4:$S$93,1),2)=0,""," ")</f>
        <v/>
      </c>
      <c r="G34" s="347" t="str">
        <f>IF(MOD(MATCH(C34,Calculs!$T$4:$T$93,1),2)=0,""," ")</f>
        <v/>
      </c>
      <c r="H34" s="339"/>
      <c r="I34" s="337" t="str">
        <f t="shared" si="1"/>
        <v>Lu</v>
      </c>
      <c r="J34" s="338">
        <f>+J32+1</f>
        <v>44242</v>
      </c>
      <c r="K34" s="344" t="str">
        <f>IF(ISNA(VLOOKUP(J34,TAB_FERIES_PURS,4,FALSE)),"",VLOOKUP(J34,TAB_FERIES_PURS,4,FALSE))</f>
        <v/>
      </c>
      <c r="L34" s="338" t="str">
        <f>IF(MOD(MATCH(J34,Calculs!$R$4:$R$93,1),2)=0,""," ")</f>
        <v xml:space="preserve"> </v>
      </c>
      <c r="M34" s="338" t="str">
        <f>IF(MOD(MATCH(J34,Calculs!$S$4:$S$93,1),2)=0,""," ")</f>
        <v/>
      </c>
      <c r="N34" s="347" t="str">
        <f>IF(MOD(MATCH(J34,Calculs!$T$4:$T$93,1),2)=0,""," ")</f>
        <v xml:space="preserve"> </v>
      </c>
      <c r="O34" s="339"/>
      <c r="P34" s="337" t="str">
        <f t="shared" si="2"/>
        <v>Lu</v>
      </c>
      <c r="Q34" s="338">
        <f>+Q32+1</f>
        <v>44270</v>
      </c>
      <c r="R34" s="344" t="str">
        <f>IF(ISNA(VLOOKUP(Q34,TAB_FERIES_PURS,4,FALSE)),"",VLOOKUP(Q34,TAB_FERIES_PURS,4,FALSE))</f>
        <v/>
      </c>
      <c r="S34" s="338" t="str">
        <f>IF(MOD(MATCH(Q34,Calculs!$R$4:$R$93,1),2)=0,""," ")</f>
        <v/>
      </c>
      <c r="T34" s="338" t="str">
        <f>IF(MOD(MATCH(Q34,Calculs!$S$4:$S$93,1),2)=0,""," ")</f>
        <v/>
      </c>
      <c r="U34" s="347" t="str">
        <f>IF(MOD(MATCH(Q34,Calculs!$T$4:$T$93,1),2)=0,""," ")</f>
        <v/>
      </c>
      <c r="V34" s="339"/>
      <c r="W34" s="337" t="str">
        <f t="shared" si="3"/>
        <v>Je</v>
      </c>
      <c r="X34" s="338">
        <f>+X32+1</f>
        <v>44301</v>
      </c>
      <c r="Y34" s="344" t="str">
        <f>IF(ISNA(VLOOKUP(X34,TAB_FERIES_PURS,4,FALSE)),"",VLOOKUP(X34,TAB_FERIES_PURS,4,FALSE))</f>
        <v/>
      </c>
      <c r="Z34" s="338" t="str">
        <f>IF(MOD(MATCH(X34,Calculs!$R$4:$R$93,1),2)=0,""," ")</f>
        <v xml:space="preserve"> </v>
      </c>
      <c r="AA34" s="338" t="str">
        <f>IF(MOD(MATCH(X34,Calculs!$S$4:$S$93,1),2)=0,""," ")</f>
        <v/>
      </c>
      <c r="AB34" s="347" t="str">
        <f>IF(MOD(MATCH(X34,Calculs!$T$4:$T$93,1),2)=0,""," ")</f>
        <v/>
      </c>
      <c r="AC34" s="339"/>
      <c r="AD34" s="337" t="str">
        <f t="shared" si="4"/>
        <v>Sa</v>
      </c>
      <c r="AE34" s="338">
        <f>+AE32+1</f>
        <v>44331</v>
      </c>
      <c r="AF34" s="344" t="str">
        <f>IF(ISNA(VLOOKUP(AE34,TAB_FERIES_PURS,4,FALSE)),"",VLOOKUP(AE34,TAB_FERIES_PURS,4,FALSE))</f>
        <v/>
      </c>
      <c r="AG34" s="338" t="str">
        <f>IF(MOD(MATCH(AE34,Calculs!$R$4:$R$93,1),2)=0,""," ")</f>
        <v xml:space="preserve"> </v>
      </c>
      <c r="AH34" s="338" t="str">
        <f>IF(MOD(MATCH(AE34,Calculs!$S$4:$S$93,1),2)=0,""," ")</f>
        <v xml:space="preserve"> </v>
      </c>
      <c r="AI34" s="347" t="str">
        <f>IF(MOD(MATCH(AE34,Calculs!$T$4:$T$93,1),2)=0,""," ")</f>
        <v xml:space="preserve"> </v>
      </c>
      <c r="AJ34" s="339"/>
      <c r="AK34" s="337" t="str">
        <f t="shared" si="5"/>
        <v>Ma</v>
      </c>
      <c r="AL34" s="338">
        <f>+AL32+1</f>
        <v>44362</v>
      </c>
      <c r="AM34" s="344" t="str">
        <f>IF(ISNA(VLOOKUP(AL34,TAB_FERIES_PURS,4,FALSE)),"",VLOOKUP(AL34,TAB_FERIES_PURS,4,FALSE))</f>
        <v/>
      </c>
      <c r="AN34" s="338" t="str">
        <f>IF(MOD(MATCH(AL34,Calculs!$R$4:$R$93,1),2)=0,""," ")</f>
        <v/>
      </c>
      <c r="AO34" s="338" t="str">
        <f>IF(MOD(MATCH(AL34,Calculs!$S$4:$S$93,1),2)=0,""," ")</f>
        <v/>
      </c>
      <c r="AP34" s="347" t="str">
        <f>IF(MOD(MATCH(AL34,Calculs!$T$4:$T$93,1),2)=0,""," ")</f>
        <v/>
      </c>
      <c r="AQ34" s="339"/>
      <c r="AR34" s="337" t="str">
        <f t="shared" si="6"/>
        <v>Je</v>
      </c>
      <c r="AS34" s="338">
        <f>+AS32+1</f>
        <v>44392</v>
      </c>
      <c r="AT34" s="344" t="str">
        <f>IF(ISNA(VLOOKUP(AS34,TAB_FERIES_PURS,4,FALSE)),"",VLOOKUP(AS34,TAB_FERIES_PURS,4,FALSE))</f>
        <v/>
      </c>
      <c r="AU34" s="338" t="str">
        <f>IF(MOD(MATCH(AS34,Calculs!$R$4:$R$93,1),2)=0,""," ")</f>
        <v xml:space="preserve"> </v>
      </c>
      <c r="AV34" s="338" t="str">
        <f>IF(MOD(MATCH(AS34,Calculs!$S$4:$S$93,1),2)=0,""," ")</f>
        <v xml:space="preserve"> </v>
      </c>
      <c r="AW34" s="347" t="str">
        <f>IF(MOD(MATCH(AS34,Calculs!$T$4:$T$93,1),2)=0,""," ")</f>
        <v xml:space="preserve"> </v>
      </c>
      <c r="AX34" s="339"/>
      <c r="AY34" s="337" t="str">
        <f t="shared" si="7"/>
        <v>Di</v>
      </c>
      <c r="AZ34" s="338">
        <f>+AZ32+1</f>
        <v>44423</v>
      </c>
      <c r="BA34" s="344" t="str">
        <f>IF(ISNA(VLOOKUP(AZ34,TAB_FERIES_PURS,4,FALSE)),"",VLOOKUP(AZ34,TAB_FERIES_PURS,4,FALSE))</f>
        <v>F</v>
      </c>
      <c r="BB34" s="338" t="str">
        <f>IF(MOD(MATCH(AZ34,Calculs!$R$4:$R$93,1),2)=0,""," ")</f>
        <v xml:space="preserve"> </v>
      </c>
      <c r="BC34" s="338" t="str">
        <f>IF(MOD(MATCH(AZ34,Calculs!$S$4:$S$93,1),2)=0,""," ")</f>
        <v xml:space="preserve"> </v>
      </c>
      <c r="BD34" s="347" t="str">
        <f>IF(MOD(MATCH(AZ34,Calculs!$T$4:$T$93,1),2)=0,""," ")</f>
        <v xml:space="preserve"> </v>
      </c>
      <c r="BE34" s="339"/>
      <c r="BF34" s="337" t="str">
        <f t="shared" si="8"/>
        <v>Me</v>
      </c>
      <c r="BG34" s="338">
        <f>+BG32+1</f>
        <v>44454</v>
      </c>
      <c r="BH34" s="344" t="str">
        <f>IF(ISNA(VLOOKUP(BG34,TAB_FERIES_PURS,4,FALSE)),"",VLOOKUP(BG34,TAB_FERIES_PURS,4,FALSE))</f>
        <v/>
      </c>
      <c r="BI34" s="338" t="str">
        <f>IF(MOD(MATCH(BG34,Calculs!$R$4:$R$93,1),2)=0,""," ")</f>
        <v/>
      </c>
      <c r="BJ34" s="338" t="str">
        <f>IF(MOD(MATCH(BG34,Calculs!$S$4:$S$93,1),2)=0,""," ")</f>
        <v/>
      </c>
      <c r="BK34" s="347" t="str">
        <f>IF(MOD(MATCH(BG34,Calculs!$T$4:$T$93,1),2)=0,""," ")</f>
        <v/>
      </c>
      <c r="BL34" s="339"/>
      <c r="BM34" s="337" t="str">
        <f t="shared" si="9"/>
        <v>Ve</v>
      </c>
      <c r="BN34" s="338">
        <f>+BN32+1</f>
        <v>44484</v>
      </c>
      <c r="BO34" s="344" t="str">
        <f>IF(ISNA(VLOOKUP(BN34,TAB_FERIES_PURS,4,FALSE)),"",VLOOKUP(BN34,TAB_FERIES_PURS,4,FALSE))</f>
        <v/>
      </c>
      <c r="BP34" s="338" t="str">
        <f>IF(MOD(MATCH(BN34,Calculs!$R$4:$R$93,1),2)=0,""," ")</f>
        <v/>
      </c>
      <c r="BQ34" s="338" t="str">
        <f>IF(MOD(MATCH(BN34,Calculs!$S$4:$S$93,1),2)=0,""," ")</f>
        <v/>
      </c>
      <c r="BR34" s="347" t="str">
        <f>IF(MOD(MATCH(BN34,Calculs!$T$4:$T$93,1),2)=0,""," ")</f>
        <v/>
      </c>
      <c r="BS34" s="339"/>
      <c r="BT34" s="337" t="str">
        <f t="shared" si="10"/>
        <v>Lu</v>
      </c>
      <c r="BU34" s="338">
        <f>+BU32+1</f>
        <v>44515</v>
      </c>
      <c r="BV34" s="344" t="str">
        <f>IF(ISNA(VLOOKUP(BU34,TAB_FERIES_PURS,4,FALSE)),"",VLOOKUP(BU34,TAB_FERIES_PURS,4,FALSE))</f>
        <v/>
      </c>
      <c r="BW34" s="338" t="str">
        <f>IF(MOD(MATCH(BU34,Calculs!$R$4:$R$93,1),2)=0,""," ")</f>
        <v/>
      </c>
      <c r="BX34" s="338" t="str">
        <f>IF(MOD(MATCH(BU34,Calculs!$S$4:$S$93,1),2)=0,""," ")</f>
        <v/>
      </c>
      <c r="BY34" s="347" t="str">
        <f>IF(MOD(MATCH(BU34,Calculs!$T$4:$T$93,1),2)=0,""," ")</f>
        <v/>
      </c>
      <c r="BZ34" s="339"/>
      <c r="CA34" s="337" t="str">
        <f t="shared" si="11"/>
        <v>Me</v>
      </c>
      <c r="CB34" s="338">
        <f>+CB32+1</f>
        <v>44545</v>
      </c>
      <c r="CC34" s="344" t="str">
        <f>IF(ISNA(VLOOKUP(CB34,TAB_FERIES_PURS,4,FALSE)),"",VLOOKUP(CB34,TAB_FERIES_PURS,4,FALSE))</f>
        <v/>
      </c>
      <c r="CD34" s="338" t="str">
        <f>IF(MOD(MATCH(CB34,Calculs!$R$4:$R$93,1),2)=0,""," ")</f>
        <v/>
      </c>
      <c r="CE34" s="338" t="str">
        <f>IF(MOD(MATCH(CB34,Calculs!$S$4:$S$93,1),2)=0,""," ")</f>
        <v/>
      </c>
      <c r="CF34" s="347" t="str">
        <f>IF(MOD(MATCH(CB34,Calculs!$T$4:$T$93,1),2)=0,""," ")</f>
        <v/>
      </c>
      <c r="CG34" s="360"/>
    </row>
    <row r="35" spans="1:85" s="345" customFormat="1" ht="4" customHeight="1" x14ac:dyDescent="0.15">
      <c r="A35" s="359"/>
      <c r="B35" s="337"/>
      <c r="C35" s="338"/>
      <c r="D35" s="340"/>
      <c r="E35" s="339"/>
      <c r="F35" s="339"/>
      <c r="G35" s="347"/>
      <c r="H35" s="339"/>
      <c r="I35" s="337"/>
      <c r="J35" s="338"/>
      <c r="K35" s="340"/>
      <c r="L35" s="339"/>
      <c r="M35" s="339"/>
      <c r="N35" s="347"/>
      <c r="O35" s="339"/>
      <c r="P35" s="337"/>
      <c r="Q35" s="338"/>
      <c r="R35" s="340"/>
      <c r="S35" s="339"/>
      <c r="T35" s="339"/>
      <c r="U35" s="347"/>
      <c r="V35" s="339"/>
      <c r="W35" s="337"/>
      <c r="X35" s="338"/>
      <c r="Y35" s="340"/>
      <c r="Z35" s="339"/>
      <c r="AA35" s="339"/>
      <c r="AB35" s="347"/>
      <c r="AC35" s="339"/>
      <c r="AD35" s="337"/>
      <c r="AE35" s="338"/>
      <c r="AF35" s="340"/>
      <c r="AG35" s="339"/>
      <c r="AH35" s="339"/>
      <c r="AI35" s="347"/>
      <c r="AJ35" s="339"/>
      <c r="AK35" s="337"/>
      <c r="AL35" s="338"/>
      <c r="AM35" s="340"/>
      <c r="AN35" s="339"/>
      <c r="AO35" s="339"/>
      <c r="AP35" s="347"/>
      <c r="AQ35" s="339"/>
      <c r="AR35" s="337"/>
      <c r="AS35" s="338"/>
      <c r="AT35" s="340"/>
      <c r="AU35" s="339"/>
      <c r="AV35" s="339"/>
      <c r="AW35" s="347"/>
      <c r="AX35" s="339"/>
      <c r="AY35" s="337"/>
      <c r="AZ35" s="338"/>
      <c r="BA35" s="340"/>
      <c r="BB35" s="339"/>
      <c r="BC35" s="339"/>
      <c r="BD35" s="347"/>
      <c r="BE35" s="339"/>
      <c r="BF35" s="337"/>
      <c r="BG35" s="338"/>
      <c r="BH35" s="340"/>
      <c r="BI35" s="339"/>
      <c r="BJ35" s="339"/>
      <c r="BK35" s="347"/>
      <c r="BL35" s="339"/>
      <c r="BM35" s="337"/>
      <c r="BN35" s="338"/>
      <c r="BO35" s="340"/>
      <c r="BP35" s="339"/>
      <c r="BQ35" s="339"/>
      <c r="BR35" s="347"/>
      <c r="BS35" s="339"/>
      <c r="BT35" s="337"/>
      <c r="BU35" s="338"/>
      <c r="BV35" s="340"/>
      <c r="BW35" s="339"/>
      <c r="BX35" s="339"/>
      <c r="BY35" s="347"/>
      <c r="BZ35" s="339"/>
      <c r="CA35" s="337"/>
      <c r="CB35" s="338"/>
      <c r="CC35" s="340"/>
      <c r="CD35" s="339"/>
      <c r="CE35" s="339"/>
      <c r="CF35" s="347"/>
      <c r="CG35" s="360"/>
    </row>
    <row r="36" spans="1:85" s="345" customFormat="1" ht="18" customHeight="1" x14ac:dyDescent="0.15">
      <c r="A36" s="359"/>
      <c r="B36" s="337" t="str">
        <f t="shared" si="0"/>
        <v>Sa</v>
      </c>
      <c r="C36" s="338">
        <f>+C34+1</f>
        <v>44212</v>
      </c>
      <c r="D36" s="344" t="str">
        <f>IF(ISNA(VLOOKUP(C36,TAB_FERIES_PURS,4,FALSE)),"",VLOOKUP(C36,TAB_FERIES_PURS,4,FALSE))</f>
        <v/>
      </c>
      <c r="E36" s="338" t="str">
        <f>IF(MOD(MATCH(C36,Calculs!$R$4:$R$93,1),2)=0,""," ")</f>
        <v/>
      </c>
      <c r="F36" s="338" t="str">
        <f>IF(MOD(MATCH(C36,Calculs!$S$4:$S$93,1),2)=0,""," ")</f>
        <v/>
      </c>
      <c r="G36" s="347" t="str">
        <f>IF(MOD(MATCH(C36,Calculs!$T$4:$T$93,1),2)=0,""," ")</f>
        <v/>
      </c>
      <c r="H36" s="339"/>
      <c r="I36" s="337" t="str">
        <f t="shared" si="1"/>
        <v>Ma</v>
      </c>
      <c r="J36" s="338">
        <f>+J34+1</f>
        <v>44243</v>
      </c>
      <c r="K36" s="344" t="str">
        <f>IF(ISNA(VLOOKUP(J36,TAB_FERIES_PURS,4,FALSE)),"",VLOOKUP(J36,TAB_FERIES_PURS,4,FALSE))</f>
        <v/>
      </c>
      <c r="L36" s="338" t="str">
        <f>IF(MOD(MATCH(J36,Calculs!$R$4:$R$93,1),2)=0,""," ")</f>
        <v xml:space="preserve"> </v>
      </c>
      <c r="M36" s="338" t="str">
        <f>IF(MOD(MATCH(J36,Calculs!$S$4:$S$93,1),2)=0,""," ")</f>
        <v/>
      </c>
      <c r="N36" s="347" t="str">
        <f>IF(MOD(MATCH(J36,Calculs!$T$4:$T$93,1),2)=0,""," ")</f>
        <v xml:space="preserve"> </v>
      </c>
      <c r="O36" s="339"/>
      <c r="P36" s="337" t="str">
        <f t="shared" si="2"/>
        <v>Ma</v>
      </c>
      <c r="Q36" s="338">
        <f>+Q34+1</f>
        <v>44271</v>
      </c>
      <c r="R36" s="344" t="str">
        <f>IF(ISNA(VLOOKUP(Q36,TAB_FERIES_PURS,4,FALSE)),"",VLOOKUP(Q36,TAB_FERIES_PURS,4,FALSE))</f>
        <v/>
      </c>
      <c r="S36" s="338" t="str">
        <f>IF(MOD(MATCH(Q36,Calculs!$R$4:$R$93,1),2)=0,""," ")</f>
        <v/>
      </c>
      <c r="T36" s="338" t="str">
        <f>IF(MOD(MATCH(Q36,Calculs!$S$4:$S$93,1),2)=0,""," ")</f>
        <v/>
      </c>
      <c r="U36" s="347" t="str">
        <f>IF(MOD(MATCH(Q36,Calculs!$T$4:$T$93,1),2)=0,""," ")</f>
        <v/>
      </c>
      <c r="V36" s="339"/>
      <c r="W36" s="337" t="str">
        <f t="shared" si="3"/>
        <v>Ve</v>
      </c>
      <c r="X36" s="338">
        <f>+X34+1</f>
        <v>44302</v>
      </c>
      <c r="Y36" s="344" t="str">
        <f>IF(ISNA(VLOOKUP(X36,TAB_FERIES_PURS,4,FALSE)),"",VLOOKUP(X36,TAB_FERIES_PURS,4,FALSE))</f>
        <v/>
      </c>
      <c r="Z36" s="338" t="str">
        <f>IF(MOD(MATCH(X36,Calculs!$R$4:$R$93,1),2)=0,""," ")</f>
        <v xml:space="preserve"> </v>
      </c>
      <c r="AA36" s="338" t="str">
        <f>IF(MOD(MATCH(X36,Calculs!$S$4:$S$93,1),2)=0,""," ")</f>
        <v/>
      </c>
      <c r="AB36" s="347" t="str">
        <f>IF(MOD(MATCH(X36,Calculs!$T$4:$T$93,1),2)=0,""," ")</f>
        <v/>
      </c>
      <c r="AC36" s="339"/>
      <c r="AD36" s="337" t="str">
        <f t="shared" si="4"/>
        <v>Di</v>
      </c>
      <c r="AE36" s="338">
        <f>+AE34+1</f>
        <v>44332</v>
      </c>
      <c r="AF36" s="344" t="str">
        <f>IF(ISNA(VLOOKUP(AE36,TAB_FERIES_PURS,4,FALSE)),"",VLOOKUP(AE36,TAB_FERIES_PURS,4,FALSE))</f>
        <v/>
      </c>
      <c r="AG36" s="338" t="str">
        <f>IF(MOD(MATCH(AE36,Calculs!$R$4:$R$93,1),2)=0,""," ")</f>
        <v xml:space="preserve"> </v>
      </c>
      <c r="AH36" s="338" t="str">
        <f>IF(MOD(MATCH(AE36,Calculs!$S$4:$S$93,1),2)=0,""," ")</f>
        <v xml:space="preserve"> </v>
      </c>
      <c r="AI36" s="347" t="str">
        <f>IF(MOD(MATCH(AE36,Calculs!$T$4:$T$93,1),2)=0,""," ")</f>
        <v xml:space="preserve"> </v>
      </c>
      <c r="AJ36" s="339"/>
      <c r="AK36" s="337" t="str">
        <f t="shared" si="5"/>
        <v>Me</v>
      </c>
      <c r="AL36" s="338">
        <f>+AL34+1</f>
        <v>44363</v>
      </c>
      <c r="AM36" s="344" t="str">
        <f>IF(ISNA(VLOOKUP(AL36,TAB_FERIES_PURS,4,FALSE)),"",VLOOKUP(AL36,TAB_FERIES_PURS,4,FALSE))</f>
        <v/>
      </c>
      <c r="AN36" s="338" t="str">
        <f>IF(MOD(MATCH(AL36,Calculs!$R$4:$R$93,1),2)=0,""," ")</f>
        <v/>
      </c>
      <c r="AO36" s="338" t="str">
        <f>IF(MOD(MATCH(AL36,Calculs!$S$4:$S$93,1),2)=0,""," ")</f>
        <v/>
      </c>
      <c r="AP36" s="347" t="str">
        <f>IF(MOD(MATCH(AL36,Calculs!$T$4:$T$93,1),2)=0,""," ")</f>
        <v/>
      </c>
      <c r="AQ36" s="339"/>
      <c r="AR36" s="337" t="str">
        <f t="shared" si="6"/>
        <v>Ve</v>
      </c>
      <c r="AS36" s="338">
        <f>+AS34+1</f>
        <v>44393</v>
      </c>
      <c r="AT36" s="344" t="str">
        <f>IF(ISNA(VLOOKUP(AS36,TAB_FERIES_PURS,4,FALSE)),"",VLOOKUP(AS36,TAB_FERIES_PURS,4,FALSE))</f>
        <v/>
      </c>
      <c r="AU36" s="338" t="str">
        <f>IF(MOD(MATCH(AS36,Calculs!$R$4:$R$93,1),2)=0,""," ")</f>
        <v xml:space="preserve"> </v>
      </c>
      <c r="AV36" s="338" t="str">
        <f>IF(MOD(MATCH(AS36,Calculs!$S$4:$S$93,1),2)=0,""," ")</f>
        <v xml:space="preserve"> </v>
      </c>
      <c r="AW36" s="347" t="str">
        <f>IF(MOD(MATCH(AS36,Calculs!$T$4:$T$93,1),2)=0,""," ")</f>
        <v xml:space="preserve"> </v>
      </c>
      <c r="AX36" s="339"/>
      <c r="AY36" s="337" t="str">
        <f t="shared" si="7"/>
        <v>Lu</v>
      </c>
      <c r="AZ36" s="338">
        <f>+AZ34+1</f>
        <v>44424</v>
      </c>
      <c r="BA36" s="344" t="str">
        <f>IF(ISNA(VLOOKUP(AZ36,TAB_FERIES_PURS,4,FALSE)),"",VLOOKUP(AZ36,TAB_FERIES_PURS,4,FALSE))</f>
        <v/>
      </c>
      <c r="BB36" s="338" t="str">
        <f>IF(MOD(MATCH(AZ36,Calculs!$R$4:$R$93,1),2)=0,""," ")</f>
        <v xml:space="preserve"> </v>
      </c>
      <c r="BC36" s="338" t="str">
        <f>IF(MOD(MATCH(AZ36,Calculs!$S$4:$S$93,1),2)=0,""," ")</f>
        <v xml:space="preserve"> </v>
      </c>
      <c r="BD36" s="347" t="str">
        <f>IF(MOD(MATCH(AZ36,Calculs!$T$4:$T$93,1),2)=0,""," ")</f>
        <v xml:space="preserve"> </v>
      </c>
      <c r="BE36" s="339"/>
      <c r="BF36" s="337" t="str">
        <f t="shared" si="8"/>
        <v>Je</v>
      </c>
      <c r="BG36" s="338">
        <f>+BG34+1</f>
        <v>44455</v>
      </c>
      <c r="BH36" s="344" t="str">
        <f>IF(ISNA(VLOOKUP(BG36,TAB_FERIES_PURS,4,FALSE)),"",VLOOKUP(BG36,TAB_FERIES_PURS,4,FALSE))</f>
        <v/>
      </c>
      <c r="BI36" s="338" t="str">
        <f>IF(MOD(MATCH(BG36,Calculs!$R$4:$R$93,1),2)=0,""," ")</f>
        <v/>
      </c>
      <c r="BJ36" s="338" t="str">
        <f>IF(MOD(MATCH(BG36,Calculs!$S$4:$S$93,1),2)=0,""," ")</f>
        <v/>
      </c>
      <c r="BK36" s="347" t="str">
        <f>IF(MOD(MATCH(BG36,Calculs!$T$4:$T$93,1),2)=0,""," ")</f>
        <v/>
      </c>
      <c r="BL36" s="339"/>
      <c r="BM36" s="337" t="str">
        <f t="shared" si="9"/>
        <v>Sa</v>
      </c>
      <c r="BN36" s="338">
        <f>+BN34+1</f>
        <v>44485</v>
      </c>
      <c r="BO36" s="344" t="str">
        <f>IF(ISNA(VLOOKUP(BN36,TAB_FERIES_PURS,4,FALSE)),"",VLOOKUP(BN36,TAB_FERIES_PURS,4,FALSE))</f>
        <v/>
      </c>
      <c r="BP36" s="338" t="str">
        <f>IF(MOD(MATCH(BN36,Calculs!$R$4:$R$93,1),2)=0,""," ")</f>
        <v xml:space="preserve"> </v>
      </c>
      <c r="BQ36" s="338" t="str">
        <f>IF(MOD(MATCH(BN36,Calculs!$S$4:$S$93,1),2)=0,""," ")</f>
        <v xml:space="preserve"> </v>
      </c>
      <c r="BR36" s="347" t="str">
        <f>IF(MOD(MATCH(BN36,Calculs!$T$4:$T$93,1),2)=0,""," ")</f>
        <v xml:space="preserve"> </v>
      </c>
      <c r="BS36" s="339"/>
      <c r="BT36" s="337" t="str">
        <f t="shared" si="10"/>
        <v>Ma</v>
      </c>
      <c r="BU36" s="338">
        <f>+BU34+1</f>
        <v>44516</v>
      </c>
      <c r="BV36" s="344" t="str">
        <f>IF(ISNA(VLOOKUP(BU36,TAB_FERIES_PURS,4,FALSE)),"",VLOOKUP(BU36,TAB_FERIES_PURS,4,FALSE))</f>
        <v/>
      </c>
      <c r="BW36" s="338" t="str">
        <f>IF(MOD(MATCH(BU36,Calculs!$R$4:$R$93,1),2)=0,""," ")</f>
        <v/>
      </c>
      <c r="BX36" s="338" t="str">
        <f>IF(MOD(MATCH(BU36,Calculs!$S$4:$S$93,1),2)=0,""," ")</f>
        <v/>
      </c>
      <c r="BY36" s="347" t="str">
        <f>IF(MOD(MATCH(BU36,Calculs!$T$4:$T$93,1),2)=0,""," ")</f>
        <v/>
      </c>
      <c r="BZ36" s="339"/>
      <c r="CA36" s="337" t="str">
        <f t="shared" si="11"/>
        <v>Je</v>
      </c>
      <c r="CB36" s="338">
        <f>+CB34+1</f>
        <v>44546</v>
      </c>
      <c r="CC36" s="344" t="str">
        <f>IF(ISNA(VLOOKUP(CB36,TAB_FERIES_PURS,4,FALSE)),"",VLOOKUP(CB36,TAB_FERIES_PURS,4,FALSE))</f>
        <v/>
      </c>
      <c r="CD36" s="338" t="str">
        <f>IF(MOD(MATCH(CB36,Calculs!$R$4:$R$93,1),2)=0,""," ")</f>
        <v/>
      </c>
      <c r="CE36" s="338" t="str">
        <f>IF(MOD(MATCH(CB36,Calculs!$S$4:$S$93,1),2)=0,""," ")</f>
        <v/>
      </c>
      <c r="CF36" s="347" t="str">
        <f>IF(MOD(MATCH(CB36,Calculs!$T$4:$T$93,1),2)=0,""," ")</f>
        <v/>
      </c>
      <c r="CG36" s="360"/>
    </row>
    <row r="37" spans="1:85" s="345" customFormat="1" ht="4" customHeight="1" x14ac:dyDescent="0.15">
      <c r="A37" s="359"/>
      <c r="B37" s="337"/>
      <c r="C37" s="338"/>
      <c r="D37" s="340"/>
      <c r="E37" s="339"/>
      <c r="F37" s="339"/>
      <c r="G37" s="347"/>
      <c r="H37" s="339"/>
      <c r="I37" s="337"/>
      <c r="J37" s="338"/>
      <c r="K37" s="340"/>
      <c r="L37" s="339"/>
      <c r="M37" s="339"/>
      <c r="N37" s="347"/>
      <c r="O37" s="339"/>
      <c r="P37" s="337"/>
      <c r="Q37" s="338"/>
      <c r="R37" s="340"/>
      <c r="S37" s="339"/>
      <c r="T37" s="339"/>
      <c r="U37" s="347"/>
      <c r="V37" s="339"/>
      <c r="W37" s="337"/>
      <c r="X37" s="338"/>
      <c r="Y37" s="340"/>
      <c r="Z37" s="339"/>
      <c r="AA37" s="339"/>
      <c r="AB37" s="347"/>
      <c r="AC37" s="339"/>
      <c r="AD37" s="337"/>
      <c r="AE37" s="338"/>
      <c r="AF37" s="340"/>
      <c r="AG37" s="339"/>
      <c r="AH37" s="339"/>
      <c r="AI37" s="347"/>
      <c r="AJ37" s="339"/>
      <c r="AK37" s="337"/>
      <c r="AL37" s="338"/>
      <c r="AM37" s="340"/>
      <c r="AN37" s="339"/>
      <c r="AO37" s="339"/>
      <c r="AP37" s="347"/>
      <c r="AQ37" s="339"/>
      <c r="AR37" s="337"/>
      <c r="AS37" s="338"/>
      <c r="AT37" s="340"/>
      <c r="AU37" s="339"/>
      <c r="AV37" s="339"/>
      <c r="AW37" s="347"/>
      <c r="AX37" s="339"/>
      <c r="AY37" s="337"/>
      <c r="AZ37" s="338"/>
      <c r="BA37" s="340"/>
      <c r="BB37" s="339"/>
      <c r="BC37" s="339"/>
      <c r="BD37" s="347"/>
      <c r="BE37" s="339"/>
      <c r="BF37" s="337"/>
      <c r="BG37" s="338"/>
      <c r="BH37" s="340"/>
      <c r="BI37" s="339"/>
      <c r="BJ37" s="339"/>
      <c r="BK37" s="347"/>
      <c r="BL37" s="339"/>
      <c r="BM37" s="337"/>
      <c r="BN37" s="338"/>
      <c r="BO37" s="340"/>
      <c r="BP37" s="339"/>
      <c r="BQ37" s="339"/>
      <c r="BR37" s="347"/>
      <c r="BS37" s="339"/>
      <c r="BT37" s="337"/>
      <c r="BU37" s="338"/>
      <c r="BV37" s="340"/>
      <c r="BW37" s="339"/>
      <c r="BX37" s="339"/>
      <c r="BY37" s="347"/>
      <c r="BZ37" s="339"/>
      <c r="CA37" s="337"/>
      <c r="CB37" s="338"/>
      <c r="CC37" s="340"/>
      <c r="CD37" s="339"/>
      <c r="CE37" s="339"/>
      <c r="CF37" s="347"/>
      <c r="CG37" s="360"/>
    </row>
    <row r="38" spans="1:85" s="345" customFormat="1" ht="18" customHeight="1" x14ac:dyDescent="0.15">
      <c r="A38" s="359"/>
      <c r="B38" s="337" t="str">
        <f t="shared" si="0"/>
        <v>Di</v>
      </c>
      <c r="C38" s="338">
        <f>+C36+1</f>
        <v>44213</v>
      </c>
      <c r="D38" s="344" t="str">
        <f>IF(ISNA(VLOOKUP(C38,TAB_FERIES_PURS,4,FALSE)),"",VLOOKUP(C38,TAB_FERIES_PURS,4,FALSE))</f>
        <v/>
      </c>
      <c r="E38" s="338" t="str">
        <f>IF(MOD(MATCH(C38,Calculs!$R$4:$R$93,1),2)=0,""," ")</f>
        <v/>
      </c>
      <c r="F38" s="338" t="str">
        <f>IF(MOD(MATCH(C38,Calculs!$S$4:$S$93,1),2)=0,""," ")</f>
        <v/>
      </c>
      <c r="G38" s="347" t="str">
        <f>IF(MOD(MATCH(C38,Calculs!$T$4:$T$93,1),2)=0,""," ")</f>
        <v/>
      </c>
      <c r="H38" s="339"/>
      <c r="I38" s="337" t="str">
        <f t="shared" si="1"/>
        <v>Me</v>
      </c>
      <c r="J38" s="338">
        <f>+J36+1</f>
        <v>44244</v>
      </c>
      <c r="K38" s="344" t="str">
        <f>IF(ISNA(VLOOKUP(J38,TAB_FERIES_PURS,4,FALSE)),"",VLOOKUP(J38,TAB_FERIES_PURS,4,FALSE))</f>
        <v/>
      </c>
      <c r="L38" s="338" t="str">
        <f>IF(MOD(MATCH(J38,Calculs!$R$4:$R$93,1),2)=0,""," ")</f>
        <v xml:space="preserve"> </v>
      </c>
      <c r="M38" s="338" t="str">
        <f>IF(MOD(MATCH(J38,Calculs!$S$4:$S$93,1),2)=0,""," ")</f>
        <v/>
      </c>
      <c r="N38" s="347" t="str">
        <f>IF(MOD(MATCH(J38,Calculs!$T$4:$T$93,1),2)=0,""," ")</f>
        <v xml:space="preserve"> </v>
      </c>
      <c r="O38" s="339"/>
      <c r="P38" s="337" t="str">
        <f t="shared" si="2"/>
        <v>Me</v>
      </c>
      <c r="Q38" s="338">
        <f>+Q36+1</f>
        <v>44272</v>
      </c>
      <c r="R38" s="344" t="str">
        <f>IF(ISNA(VLOOKUP(Q38,TAB_FERIES_PURS,4,FALSE)),"",VLOOKUP(Q38,TAB_FERIES_PURS,4,FALSE))</f>
        <v/>
      </c>
      <c r="S38" s="338" t="str">
        <f>IF(MOD(MATCH(Q38,Calculs!$R$4:$R$93,1),2)=0,""," ")</f>
        <v/>
      </c>
      <c r="T38" s="338" t="str">
        <f>IF(MOD(MATCH(Q38,Calculs!$S$4:$S$93,1),2)=0,""," ")</f>
        <v/>
      </c>
      <c r="U38" s="347" t="str">
        <f>IF(MOD(MATCH(Q38,Calculs!$T$4:$T$93,1),2)=0,""," ")</f>
        <v/>
      </c>
      <c r="V38" s="339"/>
      <c r="W38" s="337" t="str">
        <f t="shared" si="3"/>
        <v>Sa</v>
      </c>
      <c r="X38" s="338">
        <f>+X36+1</f>
        <v>44303</v>
      </c>
      <c r="Y38" s="344" t="str">
        <f>IF(ISNA(VLOOKUP(X38,TAB_FERIES_PURS,4,FALSE)),"",VLOOKUP(X38,TAB_FERIES_PURS,4,FALSE))</f>
        <v/>
      </c>
      <c r="Z38" s="338" t="str">
        <f>IF(MOD(MATCH(X38,Calculs!$R$4:$R$93,1),2)=0,""," ")</f>
        <v xml:space="preserve"> </v>
      </c>
      <c r="AA38" s="338" t="str">
        <f>IF(MOD(MATCH(X38,Calculs!$S$4:$S$93,1),2)=0,""," ")</f>
        <v/>
      </c>
      <c r="AB38" s="347" t="str">
        <f>IF(MOD(MATCH(X38,Calculs!$T$4:$T$93,1),2)=0,""," ")</f>
        <v xml:space="preserve"> </v>
      </c>
      <c r="AC38" s="339"/>
      <c r="AD38" s="337" t="str">
        <f t="shared" si="4"/>
        <v>Lu</v>
      </c>
      <c r="AE38" s="338">
        <f>+AE36+1</f>
        <v>44333</v>
      </c>
      <c r="AF38" s="344" t="str">
        <f>IF(ISNA(VLOOKUP(AE38,TAB_FERIES_PURS,4,FALSE)),"",VLOOKUP(AE38,TAB_FERIES_PURS,4,FALSE))</f>
        <v/>
      </c>
      <c r="AG38" s="338" t="str">
        <f>IF(MOD(MATCH(AE38,Calculs!$R$4:$R$93,1),2)=0,""," ")</f>
        <v/>
      </c>
      <c r="AH38" s="338" t="str">
        <f>IF(MOD(MATCH(AE38,Calculs!$S$4:$S$93,1),2)=0,""," ")</f>
        <v/>
      </c>
      <c r="AI38" s="347" t="str">
        <f>IF(MOD(MATCH(AE38,Calculs!$T$4:$T$93,1),2)=0,""," ")</f>
        <v/>
      </c>
      <c r="AJ38" s="339"/>
      <c r="AK38" s="337" t="str">
        <f t="shared" si="5"/>
        <v>Je</v>
      </c>
      <c r="AL38" s="338">
        <f>+AL36+1</f>
        <v>44364</v>
      </c>
      <c r="AM38" s="344" t="str">
        <f>IF(ISNA(VLOOKUP(AL38,TAB_FERIES_PURS,4,FALSE)),"",VLOOKUP(AL38,TAB_FERIES_PURS,4,FALSE))</f>
        <v/>
      </c>
      <c r="AN38" s="338" t="str">
        <f>IF(MOD(MATCH(AL38,Calculs!$R$4:$R$93,1),2)=0,""," ")</f>
        <v/>
      </c>
      <c r="AO38" s="338" t="str">
        <f>IF(MOD(MATCH(AL38,Calculs!$S$4:$S$93,1),2)=0,""," ")</f>
        <v/>
      </c>
      <c r="AP38" s="347" t="str">
        <f>IF(MOD(MATCH(AL38,Calculs!$T$4:$T$93,1),2)=0,""," ")</f>
        <v/>
      </c>
      <c r="AQ38" s="339"/>
      <c r="AR38" s="337" t="str">
        <f t="shared" si="6"/>
        <v>Sa</v>
      </c>
      <c r="AS38" s="338">
        <f>+AS36+1</f>
        <v>44394</v>
      </c>
      <c r="AT38" s="344" t="str">
        <f>IF(ISNA(VLOOKUP(AS38,TAB_FERIES_PURS,4,FALSE)),"",VLOOKUP(AS38,TAB_FERIES_PURS,4,FALSE))</f>
        <v/>
      </c>
      <c r="AU38" s="338" t="str">
        <f>IF(MOD(MATCH(AS38,Calculs!$R$4:$R$93,1),2)=0,""," ")</f>
        <v xml:space="preserve"> </v>
      </c>
      <c r="AV38" s="338" t="str">
        <f>IF(MOD(MATCH(AS38,Calculs!$S$4:$S$93,1),2)=0,""," ")</f>
        <v xml:space="preserve"> </v>
      </c>
      <c r="AW38" s="347" t="str">
        <f>IF(MOD(MATCH(AS38,Calculs!$T$4:$T$93,1),2)=0,""," ")</f>
        <v xml:space="preserve"> </v>
      </c>
      <c r="AX38" s="339"/>
      <c r="AY38" s="337" t="str">
        <f t="shared" si="7"/>
        <v>Ma</v>
      </c>
      <c r="AZ38" s="338">
        <f>+AZ36+1</f>
        <v>44425</v>
      </c>
      <c r="BA38" s="344" t="str">
        <f>IF(ISNA(VLOOKUP(AZ38,TAB_FERIES_PURS,4,FALSE)),"",VLOOKUP(AZ38,TAB_FERIES_PURS,4,FALSE))</f>
        <v/>
      </c>
      <c r="BB38" s="338" t="str">
        <f>IF(MOD(MATCH(AZ38,Calculs!$R$4:$R$93,1),2)=0,""," ")</f>
        <v xml:space="preserve"> </v>
      </c>
      <c r="BC38" s="338" t="str">
        <f>IF(MOD(MATCH(AZ38,Calculs!$S$4:$S$93,1),2)=0,""," ")</f>
        <v xml:space="preserve"> </v>
      </c>
      <c r="BD38" s="347" t="str">
        <f>IF(MOD(MATCH(AZ38,Calculs!$T$4:$T$93,1),2)=0,""," ")</f>
        <v xml:space="preserve"> </v>
      </c>
      <c r="BE38" s="339"/>
      <c r="BF38" s="337" t="str">
        <f t="shared" si="8"/>
        <v>Ve</v>
      </c>
      <c r="BG38" s="338">
        <f>+BG36+1</f>
        <v>44456</v>
      </c>
      <c r="BH38" s="344" t="str">
        <f>IF(ISNA(VLOOKUP(BG38,TAB_FERIES_PURS,4,FALSE)),"",VLOOKUP(BG38,TAB_FERIES_PURS,4,FALSE))</f>
        <v/>
      </c>
      <c r="BI38" s="338" t="str">
        <f>IF(MOD(MATCH(BG38,Calculs!$R$4:$R$93,1),2)=0,""," ")</f>
        <v/>
      </c>
      <c r="BJ38" s="338" t="str">
        <f>IF(MOD(MATCH(BG38,Calculs!$S$4:$S$93,1),2)=0,""," ")</f>
        <v/>
      </c>
      <c r="BK38" s="347" t="str">
        <f>IF(MOD(MATCH(BG38,Calculs!$T$4:$T$93,1),2)=0,""," ")</f>
        <v/>
      </c>
      <c r="BL38" s="339"/>
      <c r="BM38" s="337" t="str">
        <f t="shared" si="9"/>
        <v>Di</v>
      </c>
      <c r="BN38" s="338">
        <f>+BN36+1</f>
        <v>44486</v>
      </c>
      <c r="BO38" s="344" t="str">
        <f>IF(ISNA(VLOOKUP(BN38,TAB_FERIES_PURS,4,FALSE)),"",VLOOKUP(BN38,TAB_FERIES_PURS,4,FALSE))</f>
        <v/>
      </c>
      <c r="BP38" s="338" t="str">
        <f>IF(MOD(MATCH(BN38,Calculs!$R$4:$R$93,1),2)=0,""," ")</f>
        <v xml:space="preserve"> </v>
      </c>
      <c r="BQ38" s="338" t="str">
        <f>IF(MOD(MATCH(BN38,Calculs!$S$4:$S$93,1),2)=0,""," ")</f>
        <v xml:space="preserve"> </v>
      </c>
      <c r="BR38" s="347" t="str">
        <f>IF(MOD(MATCH(BN38,Calculs!$T$4:$T$93,1),2)=0,""," ")</f>
        <v xml:space="preserve"> </v>
      </c>
      <c r="BS38" s="339"/>
      <c r="BT38" s="337" t="str">
        <f t="shared" si="10"/>
        <v>Me</v>
      </c>
      <c r="BU38" s="338">
        <f>+BU36+1</f>
        <v>44517</v>
      </c>
      <c r="BV38" s="344" t="str">
        <f>IF(ISNA(VLOOKUP(BU38,TAB_FERIES_PURS,4,FALSE)),"",VLOOKUP(BU38,TAB_FERIES_PURS,4,FALSE))</f>
        <v/>
      </c>
      <c r="BW38" s="338" t="str">
        <f>IF(MOD(MATCH(BU38,Calculs!$R$4:$R$93,1),2)=0,""," ")</f>
        <v/>
      </c>
      <c r="BX38" s="338" t="str">
        <f>IF(MOD(MATCH(BU38,Calculs!$S$4:$S$93,1),2)=0,""," ")</f>
        <v/>
      </c>
      <c r="BY38" s="347" t="str">
        <f>IF(MOD(MATCH(BU38,Calculs!$T$4:$T$93,1),2)=0,""," ")</f>
        <v/>
      </c>
      <c r="BZ38" s="339"/>
      <c r="CA38" s="337" t="str">
        <f t="shared" si="11"/>
        <v>Ve</v>
      </c>
      <c r="CB38" s="338">
        <f>+CB36+1</f>
        <v>44547</v>
      </c>
      <c r="CC38" s="344" t="str">
        <f>IF(ISNA(VLOOKUP(CB38,TAB_FERIES_PURS,4,FALSE)),"",VLOOKUP(CB38,TAB_FERIES_PURS,4,FALSE))</f>
        <v/>
      </c>
      <c r="CD38" s="338" t="str">
        <f>IF(MOD(MATCH(CB38,Calculs!$R$4:$R$93,1),2)=0,""," ")</f>
        <v/>
      </c>
      <c r="CE38" s="338" t="str">
        <f>IF(MOD(MATCH(CB38,Calculs!$S$4:$S$93,1),2)=0,""," ")</f>
        <v/>
      </c>
      <c r="CF38" s="347" t="str">
        <f>IF(MOD(MATCH(CB38,Calculs!$T$4:$T$93,1),2)=0,""," ")</f>
        <v/>
      </c>
      <c r="CG38" s="360"/>
    </row>
    <row r="39" spans="1:85" s="345" customFormat="1" ht="4" customHeight="1" x14ac:dyDescent="0.15">
      <c r="A39" s="359"/>
      <c r="B39" s="337"/>
      <c r="C39" s="338"/>
      <c r="D39" s="340"/>
      <c r="E39" s="339"/>
      <c r="F39" s="339"/>
      <c r="G39" s="347"/>
      <c r="H39" s="339"/>
      <c r="I39" s="337"/>
      <c r="J39" s="338"/>
      <c r="K39" s="340"/>
      <c r="L39" s="339"/>
      <c r="M39" s="339"/>
      <c r="N39" s="347"/>
      <c r="O39" s="339"/>
      <c r="P39" s="337"/>
      <c r="Q39" s="338"/>
      <c r="R39" s="340"/>
      <c r="S39" s="339"/>
      <c r="T39" s="339"/>
      <c r="U39" s="347"/>
      <c r="V39" s="339"/>
      <c r="W39" s="337"/>
      <c r="X39" s="338"/>
      <c r="Y39" s="340"/>
      <c r="Z39" s="339"/>
      <c r="AA39" s="339"/>
      <c r="AB39" s="347"/>
      <c r="AC39" s="339"/>
      <c r="AD39" s="337"/>
      <c r="AE39" s="338"/>
      <c r="AF39" s="340"/>
      <c r="AG39" s="339"/>
      <c r="AH39" s="339"/>
      <c r="AI39" s="347"/>
      <c r="AJ39" s="339"/>
      <c r="AK39" s="337"/>
      <c r="AL39" s="338"/>
      <c r="AM39" s="340"/>
      <c r="AN39" s="339"/>
      <c r="AO39" s="339"/>
      <c r="AP39" s="347"/>
      <c r="AQ39" s="339"/>
      <c r="AR39" s="337"/>
      <c r="AS39" s="338"/>
      <c r="AT39" s="340"/>
      <c r="AU39" s="339"/>
      <c r="AV39" s="339"/>
      <c r="AW39" s="347"/>
      <c r="AX39" s="339"/>
      <c r="AY39" s="337"/>
      <c r="AZ39" s="338"/>
      <c r="BA39" s="340"/>
      <c r="BB39" s="339"/>
      <c r="BC39" s="339"/>
      <c r="BD39" s="347"/>
      <c r="BE39" s="339"/>
      <c r="BF39" s="337"/>
      <c r="BG39" s="338"/>
      <c r="BH39" s="340"/>
      <c r="BI39" s="339"/>
      <c r="BJ39" s="339"/>
      <c r="BK39" s="347"/>
      <c r="BL39" s="339"/>
      <c r="BM39" s="337"/>
      <c r="BN39" s="338"/>
      <c r="BO39" s="340"/>
      <c r="BP39" s="339"/>
      <c r="BQ39" s="339"/>
      <c r="BR39" s="347"/>
      <c r="BS39" s="339"/>
      <c r="BT39" s="337"/>
      <c r="BU39" s="338"/>
      <c r="BV39" s="340"/>
      <c r="BW39" s="339"/>
      <c r="BX39" s="339"/>
      <c r="BY39" s="347"/>
      <c r="BZ39" s="339"/>
      <c r="CA39" s="337"/>
      <c r="CB39" s="338"/>
      <c r="CC39" s="340"/>
      <c r="CD39" s="339"/>
      <c r="CE39" s="339"/>
      <c r="CF39" s="347"/>
      <c r="CG39" s="360"/>
    </row>
    <row r="40" spans="1:85" s="345" customFormat="1" ht="18" customHeight="1" x14ac:dyDescent="0.15">
      <c r="A40" s="359"/>
      <c r="B40" s="337" t="str">
        <f t="shared" si="0"/>
        <v>Lu</v>
      </c>
      <c r="C40" s="338">
        <f>+C38+1</f>
        <v>44214</v>
      </c>
      <c r="D40" s="344" t="str">
        <f>IF(ISNA(VLOOKUP(C40,TAB_FERIES_PURS,4,FALSE)),"",VLOOKUP(C40,TAB_FERIES_PURS,4,FALSE))</f>
        <v/>
      </c>
      <c r="E40" s="338" t="str">
        <f>IF(MOD(MATCH(C40,Calculs!$R$4:$R$93,1),2)=0,""," ")</f>
        <v/>
      </c>
      <c r="F40" s="338" t="str">
        <f>IF(MOD(MATCH(C40,Calculs!$S$4:$S$93,1),2)=0,""," ")</f>
        <v/>
      </c>
      <c r="G40" s="347" t="str">
        <f>IF(MOD(MATCH(C40,Calculs!$T$4:$T$93,1),2)=0,""," ")</f>
        <v/>
      </c>
      <c r="H40" s="339"/>
      <c r="I40" s="337" t="str">
        <f t="shared" si="1"/>
        <v>Je</v>
      </c>
      <c r="J40" s="338">
        <f>+J38+1</f>
        <v>44245</v>
      </c>
      <c r="K40" s="344" t="str">
        <f>IF(ISNA(VLOOKUP(J40,TAB_FERIES_PURS,4,FALSE)),"",VLOOKUP(J40,TAB_FERIES_PURS,4,FALSE))</f>
        <v/>
      </c>
      <c r="L40" s="338" t="str">
        <f>IF(MOD(MATCH(J40,Calculs!$R$4:$R$93,1),2)=0,""," ")</f>
        <v xml:space="preserve"> </v>
      </c>
      <c r="M40" s="338" t="str">
        <f>IF(MOD(MATCH(J40,Calculs!$S$4:$S$93,1),2)=0,""," ")</f>
        <v/>
      </c>
      <c r="N40" s="347" t="str">
        <f>IF(MOD(MATCH(J40,Calculs!$T$4:$T$93,1),2)=0,""," ")</f>
        <v xml:space="preserve"> </v>
      </c>
      <c r="O40" s="339"/>
      <c r="P40" s="337" t="str">
        <f t="shared" si="2"/>
        <v>Je</v>
      </c>
      <c r="Q40" s="338">
        <f>+Q38+1</f>
        <v>44273</v>
      </c>
      <c r="R40" s="344" t="str">
        <f>IF(ISNA(VLOOKUP(Q40,TAB_FERIES_PURS,4,FALSE)),"",VLOOKUP(Q40,TAB_FERIES_PURS,4,FALSE))</f>
        <v/>
      </c>
      <c r="S40" s="338" t="str">
        <f>IF(MOD(MATCH(Q40,Calculs!$R$4:$R$93,1),2)=0,""," ")</f>
        <v/>
      </c>
      <c r="T40" s="338" t="str">
        <f>IF(MOD(MATCH(Q40,Calculs!$S$4:$S$93,1),2)=0,""," ")</f>
        <v/>
      </c>
      <c r="U40" s="347" t="str">
        <f>IF(MOD(MATCH(Q40,Calculs!$T$4:$T$93,1),2)=0,""," ")</f>
        <v/>
      </c>
      <c r="V40" s="339"/>
      <c r="W40" s="337" t="str">
        <f t="shared" si="3"/>
        <v>Di</v>
      </c>
      <c r="X40" s="338">
        <f>+X38+1</f>
        <v>44304</v>
      </c>
      <c r="Y40" s="344" t="str">
        <f>IF(ISNA(VLOOKUP(X40,TAB_FERIES_PURS,4,FALSE)),"",VLOOKUP(X40,TAB_FERIES_PURS,4,FALSE))</f>
        <v/>
      </c>
      <c r="Z40" s="338" t="str">
        <f>IF(MOD(MATCH(X40,Calculs!$R$4:$R$93,1),2)=0,""," ")</f>
        <v xml:space="preserve"> </v>
      </c>
      <c r="AA40" s="338" t="str">
        <f>IF(MOD(MATCH(X40,Calculs!$S$4:$S$93,1),2)=0,""," ")</f>
        <v/>
      </c>
      <c r="AB40" s="347" t="str">
        <f>IF(MOD(MATCH(X40,Calculs!$T$4:$T$93,1),2)=0,""," ")</f>
        <v xml:space="preserve"> </v>
      </c>
      <c r="AC40" s="339"/>
      <c r="AD40" s="337" t="str">
        <f t="shared" si="4"/>
        <v>Ma</v>
      </c>
      <c r="AE40" s="338">
        <f>+AE38+1</f>
        <v>44334</v>
      </c>
      <c r="AF40" s="344" t="str">
        <f>IF(ISNA(VLOOKUP(AE40,TAB_FERIES_PURS,4,FALSE)),"",VLOOKUP(AE40,TAB_FERIES_PURS,4,FALSE))</f>
        <v/>
      </c>
      <c r="AG40" s="338" t="str">
        <f>IF(MOD(MATCH(AE40,Calculs!$R$4:$R$93,1),2)=0,""," ")</f>
        <v/>
      </c>
      <c r="AH40" s="338" t="str">
        <f>IF(MOD(MATCH(AE40,Calculs!$S$4:$S$93,1),2)=0,""," ")</f>
        <v/>
      </c>
      <c r="AI40" s="347" t="str">
        <f>IF(MOD(MATCH(AE40,Calculs!$T$4:$T$93,1),2)=0,""," ")</f>
        <v/>
      </c>
      <c r="AJ40" s="339"/>
      <c r="AK40" s="337" t="str">
        <f t="shared" si="5"/>
        <v>Ve</v>
      </c>
      <c r="AL40" s="338">
        <f>+AL38+1</f>
        <v>44365</v>
      </c>
      <c r="AM40" s="344" t="str">
        <f>IF(ISNA(VLOOKUP(AL40,TAB_FERIES_PURS,4,FALSE)),"",VLOOKUP(AL40,TAB_FERIES_PURS,4,FALSE))</f>
        <v/>
      </c>
      <c r="AN40" s="338" t="str">
        <f>IF(MOD(MATCH(AL40,Calculs!$R$4:$R$93,1),2)=0,""," ")</f>
        <v/>
      </c>
      <c r="AO40" s="338" t="str">
        <f>IF(MOD(MATCH(AL40,Calculs!$S$4:$S$93,1),2)=0,""," ")</f>
        <v/>
      </c>
      <c r="AP40" s="347" t="str">
        <f>IF(MOD(MATCH(AL40,Calculs!$T$4:$T$93,1),2)=0,""," ")</f>
        <v/>
      </c>
      <c r="AQ40" s="339"/>
      <c r="AR40" s="337" t="str">
        <f t="shared" si="6"/>
        <v>Di</v>
      </c>
      <c r="AS40" s="338">
        <f>+AS38+1</f>
        <v>44395</v>
      </c>
      <c r="AT40" s="344" t="str">
        <f>IF(ISNA(VLOOKUP(AS40,TAB_FERIES_PURS,4,FALSE)),"",VLOOKUP(AS40,TAB_FERIES_PURS,4,FALSE))</f>
        <v/>
      </c>
      <c r="AU40" s="338" t="str">
        <f>IF(MOD(MATCH(AS40,Calculs!$R$4:$R$93,1),2)=0,""," ")</f>
        <v xml:space="preserve"> </v>
      </c>
      <c r="AV40" s="338" t="str">
        <f>IF(MOD(MATCH(AS40,Calculs!$S$4:$S$93,1),2)=0,""," ")</f>
        <v xml:space="preserve"> </v>
      </c>
      <c r="AW40" s="347" t="str">
        <f>IF(MOD(MATCH(AS40,Calculs!$T$4:$T$93,1),2)=0,""," ")</f>
        <v xml:space="preserve"> </v>
      </c>
      <c r="AX40" s="339"/>
      <c r="AY40" s="337" t="str">
        <f t="shared" si="7"/>
        <v>Me</v>
      </c>
      <c r="AZ40" s="338">
        <f>+AZ38+1</f>
        <v>44426</v>
      </c>
      <c r="BA40" s="344" t="str">
        <f>IF(ISNA(VLOOKUP(AZ40,TAB_FERIES_PURS,4,FALSE)),"",VLOOKUP(AZ40,TAB_FERIES_PURS,4,FALSE))</f>
        <v/>
      </c>
      <c r="BB40" s="338" t="str">
        <f>IF(MOD(MATCH(AZ40,Calculs!$R$4:$R$93,1),2)=0,""," ")</f>
        <v xml:space="preserve"> </v>
      </c>
      <c r="BC40" s="338" t="str">
        <f>IF(MOD(MATCH(AZ40,Calculs!$S$4:$S$93,1),2)=0,""," ")</f>
        <v xml:space="preserve"> </v>
      </c>
      <c r="BD40" s="347" t="str">
        <f>IF(MOD(MATCH(AZ40,Calculs!$T$4:$T$93,1),2)=0,""," ")</f>
        <v xml:space="preserve"> </v>
      </c>
      <c r="BE40" s="339"/>
      <c r="BF40" s="337" t="str">
        <f t="shared" si="8"/>
        <v>Sa</v>
      </c>
      <c r="BG40" s="338">
        <f>+BG38+1</f>
        <v>44457</v>
      </c>
      <c r="BH40" s="344" t="str">
        <f>IF(ISNA(VLOOKUP(BG40,TAB_FERIES_PURS,4,FALSE)),"",VLOOKUP(BG40,TAB_FERIES_PURS,4,FALSE))</f>
        <v/>
      </c>
      <c r="BI40" s="338" t="str">
        <f>IF(MOD(MATCH(BG40,Calculs!$R$4:$R$93,1),2)=0,""," ")</f>
        <v/>
      </c>
      <c r="BJ40" s="338" t="str">
        <f>IF(MOD(MATCH(BG40,Calculs!$S$4:$S$93,1),2)=0,""," ")</f>
        <v/>
      </c>
      <c r="BK40" s="347" t="str">
        <f>IF(MOD(MATCH(BG40,Calculs!$T$4:$T$93,1),2)=0,""," ")</f>
        <v/>
      </c>
      <c r="BL40" s="339"/>
      <c r="BM40" s="337" t="str">
        <f t="shared" si="9"/>
        <v>Lu</v>
      </c>
      <c r="BN40" s="338">
        <f>+BN38+1</f>
        <v>44487</v>
      </c>
      <c r="BO40" s="344" t="str">
        <f>IF(ISNA(VLOOKUP(BN40,TAB_FERIES_PURS,4,FALSE)),"",VLOOKUP(BN40,TAB_FERIES_PURS,4,FALSE))</f>
        <v/>
      </c>
      <c r="BP40" s="338" t="str">
        <f>IF(MOD(MATCH(BN40,Calculs!$R$4:$R$93,1),2)=0,""," ")</f>
        <v xml:space="preserve"> </v>
      </c>
      <c r="BQ40" s="338" t="str">
        <f>IF(MOD(MATCH(BN40,Calculs!$S$4:$S$93,1),2)=0,""," ")</f>
        <v xml:space="preserve"> </v>
      </c>
      <c r="BR40" s="347" t="str">
        <f>IF(MOD(MATCH(BN40,Calculs!$T$4:$T$93,1),2)=0,""," ")</f>
        <v xml:space="preserve"> </v>
      </c>
      <c r="BS40" s="339"/>
      <c r="BT40" s="337" t="str">
        <f t="shared" si="10"/>
        <v>Je</v>
      </c>
      <c r="BU40" s="338">
        <f>+BU38+1</f>
        <v>44518</v>
      </c>
      <c r="BV40" s="344" t="str">
        <f>IF(ISNA(VLOOKUP(BU40,TAB_FERIES_PURS,4,FALSE)),"",VLOOKUP(BU40,TAB_FERIES_PURS,4,FALSE))</f>
        <v/>
      </c>
      <c r="BW40" s="338" t="str">
        <f>IF(MOD(MATCH(BU40,Calculs!$R$4:$R$93,1),2)=0,""," ")</f>
        <v/>
      </c>
      <c r="BX40" s="338" t="str">
        <f>IF(MOD(MATCH(BU40,Calculs!$S$4:$S$93,1),2)=0,""," ")</f>
        <v/>
      </c>
      <c r="BY40" s="347" t="str">
        <f>IF(MOD(MATCH(BU40,Calculs!$T$4:$T$93,1),2)=0,""," ")</f>
        <v/>
      </c>
      <c r="BZ40" s="339"/>
      <c r="CA40" s="337" t="str">
        <f t="shared" si="11"/>
        <v>Sa</v>
      </c>
      <c r="CB40" s="338">
        <f>+CB38+1</f>
        <v>44548</v>
      </c>
      <c r="CC40" s="344" t="str">
        <f>IF(ISNA(VLOOKUP(CB40,TAB_FERIES_PURS,4,FALSE)),"",VLOOKUP(CB40,TAB_FERIES_PURS,4,FALSE))</f>
        <v/>
      </c>
      <c r="CD40" s="338" t="str">
        <f>IF(MOD(MATCH(CB40,Calculs!$R$4:$R$93,1),2)=0,""," ")</f>
        <v xml:space="preserve"> </v>
      </c>
      <c r="CE40" s="338" t="str">
        <f>IF(MOD(MATCH(CB40,Calculs!$S$4:$S$93,1),2)=0,""," ")</f>
        <v xml:space="preserve"> </v>
      </c>
      <c r="CF40" s="347" t="str">
        <f>IF(MOD(MATCH(CB40,Calculs!$T$4:$T$93,1),2)=0,""," ")</f>
        <v xml:space="preserve"> </v>
      </c>
      <c r="CG40" s="360"/>
    </row>
    <row r="41" spans="1:85" s="345" customFormat="1" ht="4" customHeight="1" x14ac:dyDescent="0.15">
      <c r="A41" s="359"/>
      <c r="B41" s="337"/>
      <c r="C41" s="338"/>
      <c r="D41" s="340"/>
      <c r="E41" s="339"/>
      <c r="F41" s="339"/>
      <c r="G41" s="347"/>
      <c r="H41" s="339"/>
      <c r="I41" s="337"/>
      <c r="J41" s="338"/>
      <c r="K41" s="340"/>
      <c r="L41" s="339"/>
      <c r="M41" s="339"/>
      <c r="N41" s="347"/>
      <c r="O41" s="339"/>
      <c r="P41" s="337"/>
      <c r="Q41" s="338"/>
      <c r="R41" s="340"/>
      <c r="S41" s="339"/>
      <c r="T41" s="339"/>
      <c r="U41" s="347"/>
      <c r="V41" s="339"/>
      <c r="W41" s="337"/>
      <c r="X41" s="338"/>
      <c r="Y41" s="340"/>
      <c r="Z41" s="339"/>
      <c r="AA41" s="339"/>
      <c r="AB41" s="347"/>
      <c r="AC41" s="339"/>
      <c r="AD41" s="337"/>
      <c r="AE41" s="338"/>
      <c r="AF41" s="340"/>
      <c r="AG41" s="339"/>
      <c r="AH41" s="339"/>
      <c r="AI41" s="347"/>
      <c r="AJ41" s="339"/>
      <c r="AK41" s="337"/>
      <c r="AL41" s="338"/>
      <c r="AM41" s="340"/>
      <c r="AN41" s="339"/>
      <c r="AO41" s="339"/>
      <c r="AP41" s="347"/>
      <c r="AQ41" s="339"/>
      <c r="AR41" s="337"/>
      <c r="AS41" s="338"/>
      <c r="AT41" s="340"/>
      <c r="AU41" s="339"/>
      <c r="AV41" s="339"/>
      <c r="AW41" s="347"/>
      <c r="AX41" s="339"/>
      <c r="AY41" s="337"/>
      <c r="AZ41" s="338"/>
      <c r="BA41" s="340"/>
      <c r="BB41" s="339"/>
      <c r="BC41" s="339"/>
      <c r="BD41" s="347"/>
      <c r="BE41" s="339"/>
      <c r="BF41" s="337"/>
      <c r="BG41" s="338"/>
      <c r="BH41" s="340"/>
      <c r="BI41" s="339"/>
      <c r="BJ41" s="339"/>
      <c r="BK41" s="347"/>
      <c r="BL41" s="339"/>
      <c r="BM41" s="337"/>
      <c r="BN41" s="338"/>
      <c r="BO41" s="340"/>
      <c r="BP41" s="339"/>
      <c r="BQ41" s="339"/>
      <c r="BR41" s="347"/>
      <c r="BS41" s="339"/>
      <c r="BT41" s="337"/>
      <c r="BU41" s="338"/>
      <c r="BV41" s="340"/>
      <c r="BW41" s="339"/>
      <c r="BX41" s="339"/>
      <c r="BY41" s="347"/>
      <c r="BZ41" s="339"/>
      <c r="CA41" s="337"/>
      <c r="CB41" s="338"/>
      <c r="CC41" s="340"/>
      <c r="CD41" s="339"/>
      <c r="CE41" s="339"/>
      <c r="CF41" s="347"/>
      <c r="CG41" s="360"/>
    </row>
    <row r="42" spans="1:85" s="345" customFormat="1" ht="18" customHeight="1" x14ac:dyDescent="0.15">
      <c r="A42" s="359"/>
      <c r="B42" s="337" t="str">
        <f t="shared" si="0"/>
        <v>Ma</v>
      </c>
      <c r="C42" s="338">
        <f>+C40+1</f>
        <v>44215</v>
      </c>
      <c r="D42" s="344" t="str">
        <f>IF(ISNA(VLOOKUP(C42,TAB_FERIES_PURS,4,FALSE)),"",VLOOKUP(C42,TAB_FERIES_PURS,4,FALSE))</f>
        <v/>
      </c>
      <c r="E42" s="338" t="str">
        <f>IF(MOD(MATCH(C42,Calculs!$R$4:$R$93,1),2)=0,""," ")</f>
        <v/>
      </c>
      <c r="F42" s="338" t="str">
        <f>IF(MOD(MATCH(C42,Calculs!$S$4:$S$93,1),2)=0,""," ")</f>
        <v/>
      </c>
      <c r="G42" s="347" t="str">
        <f>IF(MOD(MATCH(C42,Calculs!$T$4:$T$93,1),2)=0,""," ")</f>
        <v/>
      </c>
      <c r="H42" s="339"/>
      <c r="I42" s="337" t="str">
        <f t="shared" si="1"/>
        <v>Ve</v>
      </c>
      <c r="J42" s="338">
        <f>+J40+1</f>
        <v>44246</v>
      </c>
      <c r="K42" s="344" t="str">
        <f>IF(ISNA(VLOOKUP(J42,TAB_FERIES_PURS,4,FALSE)),"",VLOOKUP(J42,TAB_FERIES_PURS,4,FALSE))</f>
        <v/>
      </c>
      <c r="L42" s="338" t="str">
        <f>IF(MOD(MATCH(J42,Calculs!$R$4:$R$93,1),2)=0,""," ")</f>
        <v xml:space="preserve"> </v>
      </c>
      <c r="M42" s="338" t="str">
        <f>IF(MOD(MATCH(J42,Calculs!$S$4:$S$93,1),2)=0,""," ")</f>
        <v/>
      </c>
      <c r="N42" s="347" t="str">
        <f>IF(MOD(MATCH(J42,Calculs!$T$4:$T$93,1),2)=0,""," ")</f>
        <v xml:space="preserve"> </v>
      </c>
      <c r="O42" s="339"/>
      <c r="P42" s="337" t="str">
        <f t="shared" si="2"/>
        <v>Ve</v>
      </c>
      <c r="Q42" s="338">
        <f>+Q40+1</f>
        <v>44274</v>
      </c>
      <c r="R42" s="344" t="str">
        <f>IF(ISNA(VLOOKUP(Q42,TAB_FERIES_PURS,4,FALSE)),"",VLOOKUP(Q42,TAB_FERIES_PURS,4,FALSE))</f>
        <v/>
      </c>
      <c r="S42" s="338" t="str">
        <f>IF(MOD(MATCH(Q42,Calculs!$R$4:$R$93,1),2)=0,""," ")</f>
        <v/>
      </c>
      <c r="T42" s="338" t="str">
        <f>IF(MOD(MATCH(Q42,Calculs!$S$4:$S$93,1),2)=0,""," ")</f>
        <v/>
      </c>
      <c r="U42" s="347" t="str">
        <f>IF(MOD(MATCH(Q42,Calculs!$T$4:$T$93,1),2)=0,""," ")</f>
        <v/>
      </c>
      <c r="V42" s="339"/>
      <c r="W42" s="337" t="str">
        <f t="shared" si="3"/>
        <v>Lu</v>
      </c>
      <c r="X42" s="338">
        <f>+X40+1</f>
        <v>44305</v>
      </c>
      <c r="Y42" s="344" t="str">
        <f>IF(ISNA(VLOOKUP(X42,TAB_FERIES_PURS,4,FALSE)),"",VLOOKUP(X42,TAB_FERIES_PURS,4,FALSE))</f>
        <v/>
      </c>
      <c r="Z42" s="338" t="str">
        <f>IF(MOD(MATCH(X42,Calculs!$R$4:$R$93,1),2)=0,""," ")</f>
        <v xml:space="preserve"> </v>
      </c>
      <c r="AA42" s="338" t="str">
        <f>IF(MOD(MATCH(X42,Calculs!$S$4:$S$93,1),2)=0,""," ")</f>
        <v/>
      </c>
      <c r="AB42" s="347" t="str">
        <f>IF(MOD(MATCH(X42,Calculs!$T$4:$T$93,1),2)=0,""," ")</f>
        <v xml:space="preserve"> </v>
      </c>
      <c r="AC42" s="339"/>
      <c r="AD42" s="337" t="str">
        <f t="shared" si="4"/>
        <v>Me</v>
      </c>
      <c r="AE42" s="338">
        <f>+AE40+1</f>
        <v>44335</v>
      </c>
      <c r="AF42" s="344" t="str">
        <f>IF(ISNA(VLOOKUP(AE42,TAB_FERIES_PURS,4,FALSE)),"",VLOOKUP(AE42,TAB_FERIES_PURS,4,FALSE))</f>
        <v/>
      </c>
      <c r="AG42" s="338" t="str">
        <f>IF(MOD(MATCH(AE42,Calculs!$R$4:$R$93,1),2)=0,""," ")</f>
        <v/>
      </c>
      <c r="AH42" s="338" t="str">
        <f>IF(MOD(MATCH(AE42,Calculs!$S$4:$S$93,1),2)=0,""," ")</f>
        <v/>
      </c>
      <c r="AI42" s="347" t="str">
        <f>IF(MOD(MATCH(AE42,Calculs!$T$4:$T$93,1),2)=0,""," ")</f>
        <v/>
      </c>
      <c r="AJ42" s="339"/>
      <c r="AK42" s="337" t="str">
        <f t="shared" si="5"/>
        <v>Sa</v>
      </c>
      <c r="AL42" s="338">
        <f>+AL40+1</f>
        <v>44366</v>
      </c>
      <c r="AM42" s="344" t="str">
        <f>IF(ISNA(VLOOKUP(AL42,TAB_FERIES_PURS,4,FALSE)),"",VLOOKUP(AL42,TAB_FERIES_PURS,4,FALSE))</f>
        <v/>
      </c>
      <c r="AN42" s="338" t="str">
        <f>IF(MOD(MATCH(AL42,Calculs!$R$4:$R$93,1),2)=0,""," ")</f>
        <v/>
      </c>
      <c r="AO42" s="338" t="str">
        <f>IF(MOD(MATCH(AL42,Calculs!$S$4:$S$93,1),2)=0,""," ")</f>
        <v/>
      </c>
      <c r="AP42" s="347" t="str">
        <f>IF(MOD(MATCH(AL42,Calculs!$T$4:$T$93,1),2)=0,""," ")</f>
        <v/>
      </c>
      <c r="AQ42" s="339"/>
      <c r="AR42" s="337" t="str">
        <f t="shared" si="6"/>
        <v>Lu</v>
      </c>
      <c r="AS42" s="338">
        <f>+AS40+1</f>
        <v>44396</v>
      </c>
      <c r="AT42" s="344" t="str">
        <f>IF(ISNA(VLOOKUP(AS42,TAB_FERIES_PURS,4,FALSE)),"",VLOOKUP(AS42,TAB_FERIES_PURS,4,FALSE))</f>
        <v/>
      </c>
      <c r="AU42" s="338" t="str">
        <f>IF(MOD(MATCH(AS42,Calculs!$R$4:$R$93,1),2)=0,""," ")</f>
        <v xml:space="preserve"> </v>
      </c>
      <c r="AV42" s="338" t="str">
        <f>IF(MOD(MATCH(AS42,Calculs!$S$4:$S$93,1),2)=0,""," ")</f>
        <v xml:space="preserve"> </v>
      </c>
      <c r="AW42" s="347" t="str">
        <f>IF(MOD(MATCH(AS42,Calculs!$T$4:$T$93,1),2)=0,""," ")</f>
        <v xml:space="preserve"> </v>
      </c>
      <c r="AX42" s="339"/>
      <c r="AY42" s="337" t="str">
        <f t="shared" si="7"/>
        <v>Je</v>
      </c>
      <c r="AZ42" s="338">
        <f>+AZ40+1</f>
        <v>44427</v>
      </c>
      <c r="BA42" s="344" t="str">
        <f>IF(ISNA(VLOOKUP(AZ42,TAB_FERIES_PURS,4,FALSE)),"",VLOOKUP(AZ42,TAB_FERIES_PURS,4,FALSE))</f>
        <v/>
      </c>
      <c r="BB42" s="338" t="str">
        <f>IF(MOD(MATCH(AZ42,Calculs!$R$4:$R$93,1),2)=0,""," ")</f>
        <v xml:space="preserve"> </v>
      </c>
      <c r="BC42" s="338" t="str">
        <f>IF(MOD(MATCH(AZ42,Calculs!$S$4:$S$93,1),2)=0,""," ")</f>
        <v xml:space="preserve"> </v>
      </c>
      <c r="BD42" s="347" t="str">
        <f>IF(MOD(MATCH(AZ42,Calculs!$T$4:$T$93,1),2)=0,""," ")</f>
        <v xml:space="preserve"> </v>
      </c>
      <c r="BE42" s="339"/>
      <c r="BF42" s="337" t="str">
        <f t="shared" si="8"/>
        <v>Di</v>
      </c>
      <c r="BG42" s="338">
        <f>+BG40+1</f>
        <v>44458</v>
      </c>
      <c r="BH42" s="344" t="str">
        <f>IF(ISNA(VLOOKUP(BG42,TAB_FERIES_PURS,4,FALSE)),"",VLOOKUP(BG42,TAB_FERIES_PURS,4,FALSE))</f>
        <v/>
      </c>
      <c r="BI42" s="338" t="str">
        <f>IF(MOD(MATCH(BG42,Calculs!$R$4:$R$93,1),2)=0,""," ")</f>
        <v/>
      </c>
      <c r="BJ42" s="338" t="str">
        <f>IF(MOD(MATCH(BG42,Calculs!$S$4:$S$93,1),2)=0,""," ")</f>
        <v/>
      </c>
      <c r="BK42" s="347" t="str">
        <f>IF(MOD(MATCH(BG42,Calculs!$T$4:$T$93,1),2)=0,""," ")</f>
        <v/>
      </c>
      <c r="BL42" s="339"/>
      <c r="BM42" s="337" t="str">
        <f t="shared" si="9"/>
        <v>Ma</v>
      </c>
      <c r="BN42" s="338">
        <f>+BN40+1</f>
        <v>44488</v>
      </c>
      <c r="BO42" s="344" t="str">
        <f>IF(ISNA(VLOOKUP(BN42,TAB_FERIES_PURS,4,FALSE)),"",VLOOKUP(BN42,TAB_FERIES_PURS,4,FALSE))</f>
        <v/>
      </c>
      <c r="BP42" s="338" t="str">
        <f>IF(MOD(MATCH(BN42,Calculs!$R$4:$R$93,1),2)=0,""," ")</f>
        <v xml:space="preserve"> </v>
      </c>
      <c r="BQ42" s="338" t="str">
        <f>IF(MOD(MATCH(BN42,Calculs!$S$4:$S$93,1),2)=0,""," ")</f>
        <v xml:space="preserve"> </v>
      </c>
      <c r="BR42" s="347" t="str">
        <f>IF(MOD(MATCH(BN42,Calculs!$T$4:$T$93,1),2)=0,""," ")</f>
        <v xml:space="preserve"> </v>
      </c>
      <c r="BS42" s="339"/>
      <c r="BT42" s="337" t="str">
        <f t="shared" si="10"/>
        <v>Ve</v>
      </c>
      <c r="BU42" s="338">
        <f>+BU40+1</f>
        <v>44519</v>
      </c>
      <c r="BV42" s="344" t="str">
        <f>IF(ISNA(VLOOKUP(BU42,TAB_FERIES_PURS,4,FALSE)),"",VLOOKUP(BU42,TAB_FERIES_PURS,4,FALSE))</f>
        <v/>
      </c>
      <c r="BW42" s="338" t="str">
        <f>IF(MOD(MATCH(BU42,Calculs!$R$4:$R$93,1),2)=0,""," ")</f>
        <v/>
      </c>
      <c r="BX42" s="338" t="str">
        <f>IF(MOD(MATCH(BU42,Calculs!$S$4:$S$93,1),2)=0,""," ")</f>
        <v/>
      </c>
      <c r="BY42" s="347" t="str">
        <f>IF(MOD(MATCH(BU42,Calculs!$T$4:$T$93,1),2)=0,""," ")</f>
        <v/>
      </c>
      <c r="BZ42" s="339"/>
      <c r="CA42" s="337" t="str">
        <f t="shared" si="11"/>
        <v>Di</v>
      </c>
      <c r="CB42" s="338">
        <f>+CB40+1</f>
        <v>44549</v>
      </c>
      <c r="CC42" s="344" t="str">
        <f>IF(ISNA(VLOOKUP(CB42,TAB_FERIES_PURS,4,FALSE)),"",VLOOKUP(CB42,TAB_FERIES_PURS,4,FALSE))</f>
        <v/>
      </c>
      <c r="CD42" s="338" t="str">
        <f>IF(MOD(MATCH(CB42,Calculs!$R$4:$R$93,1),2)=0,""," ")</f>
        <v xml:space="preserve"> </v>
      </c>
      <c r="CE42" s="338" t="str">
        <f>IF(MOD(MATCH(CB42,Calculs!$S$4:$S$93,1),2)=0,""," ")</f>
        <v xml:space="preserve"> </v>
      </c>
      <c r="CF42" s="347" t="str">
        <f>IF(MOD(MATCH(CB42,Calculs!$T$4:$T$93,1),2)=0,""," ")</f>
        <v xml:space="preserve"> </v>
      </c>
      <c r="CG42" s="360"/>
    </row>
    <row r="43" spans="1:85" s="345" customFormat="1" ht="4" customHeight="1" x14ac:dyDescent="0.15">
      <c r="A43" s="359"/>
      <c r="B43" s="337"/>
      <c r="C43" s="338"/>
      <c r="D43" s="340"/>
      <c r="E43" s="339"/>
      <c r="F43" s="339"/>
      <c r="G43" s="347"/>
      <c r="H43" s="339"/>
      <c r="I43" s="337"/>
      <c r="J43" s="338"/>
      <c r="K43" s="340"/>
      <c r="L43" s="339"/>
      <c r="M43" s="339"/>
      <c r="N43" s="347"/>
      <c r="O43" s="339"/>
      <c r="P43" s="337"/>
      <c r="Q43" s="338"/>
      <c r="R43" s="340"/>
      <c r="S43" s="339"/>
      <c r="T43" s="339"/>
      <c r="U43" s="347"/>
      <c r="V43" s="339"/>
      <c r="W43" s="337"/>
      <c r="X43" s="338"/>
      <c r="Y43" s="340"/>
      <c r="Z43" s="339"/>
      <c r="AA43" s="339"/>
      <c r="AB43" s="347"/>
      <c r="AC43" s="339"/>
      <c r="AD43" s="337"/>
      <c r="AE43" s="338"/>
      <c r="AF43" s="340"/>
      <c r="AG43" s="339"/>
      <c r="AH43" s="339"/>
      <c r="AI43" s="347"/>
      <c r="AJ43" s="339"/>
      <c r="AK43" s="337"/>
      <c r="AL43" s="338"/>
      <c r="AM43" s="340"/>
      <c r="AN43" s="339"/>
      <c r="AO43" s="339"/>
      <c r="AP43" s="347"/>
      <c r="AQ43" s="339"/>
      <c r="AR43" s="337"/>
      <c r="AS43" s="338"/>
      <c r="AT43" s="340"/>
      <c r="AU43" s="339"/>
      <c r="AV43" s="339"/>
      <c r="AW43" s="347"/>
      <c r="AX43" s="339"/>
      <c r="AY43" s="337"/>
      <c r="AZ43" s="338"/>
      <c r="BA43" s="340"/>
      <c r="BB43" s="339"/>
      <c r="BC43" s="339"/>
      <c r="BD43" s="347"/>
      <c r="BE43" s="339"/>
      <c r="BF43" s="337"/>
      <c r="BG43" s="338"/>
      <c r="BH43" s="340"/>
      <c r="BI43" s="339"/>
      <c r="BJ43" s="339"/>
      <c r="BK43" s="347"/>
      <c r="BL43" s="339"/>
      <c r="BM43" s="337"/>
      <c r="BN43" s="338"/>
      <c r="BO43" s="340"/>
      <c r="BP43" s="339"/>
      <c r="BQ43" s="339"/>
      <c r="BR43" s="347"/>
      <c r="BS43" s="339"/>
      <c r="BT43" s="337"/>
      <c r="BU43" s="338"/>
      <c r="BV43" s="340"/>
      <c r="BW43" s="339"/>
      <c r="BX43" s="339"/>
      <c r="BY43" s="347"/>
      <c r="BZ43" s="339"/>
      <c r="CA43" s="337"/>
      <c r="CB43" s="338"/>
      <c r="CC43" s="340"/>
      <c r="CD43" s="339"/>
      <c r="CE43" s="339"/>
      <c r="CF43" s="347"/>
      <c r="CG43" s="360"/>
    </row>
    <row r="44" spans="1:85" s="345" customFormat="1" ht="18" customHeight="1" x14ac:dyDescent="0.15">
      <c r="A44" s="359"/>
      <c r="B44" s="337" t="str">
        <f t="shared" si="0"/>
        <v>Me</v>
      </c>
      <c r="C44" s="338">
        <f>+C42+1</f>
        <v>44216</v>
      </c>
      <c r="D44" s="344" t="str">
        <f>IF(ISNA(VLOOKUP(C44,TAB_FERIES_PURS,4,FALSE)),"",VLOOKUP(C44,TAB_FERIES_PURS,4,FALSE))</f>
        <v/>
      </c>
      <c r="E44" s="338" t="str">
        <f>IF(MOD(MATCH(C44,Calculs!$R$4:$R$93,1),2)=0,""," ")</f>
        <v/>
      </c>
      <c r="F44" s="338" t="str">
        <f>IF(MOD(MATCH(C44,Calculs!$S$4:$S$93,1),2)=0,""," ")</f>
        <v/>
      </c>
      <c r="G44" s="347" t="str">
        <f>IF(MOD(MATCH(C44,Calculs!$T$4:$T$93,1),2)=0,""," ")</f>
        <v/>
      </c>
      <c r="H44" s="339"/>
      <c r="I44" s="337" t="str">
        <f t="shared" si="1"/>
        <v>Sa</v>
      </c>
      <c r="J44" s="338">
        <f>+J42+1</f>
        <v>44247</v>
      </c>
      <c r="K44" s="344" t="str">
        <f>IF(ISNA(VLOOKUP(J44,TAB_FERIES_PURS,4,FALSE)),"",VLOOKUP(J44,TAB_FERIES_PURS,4,FALSE))</f>
        <v/>
      </c>
      <c r="L44" s="338" t="str">
        <f>IF(MOD(MATCH(J44,Calculs!$R$4:$R$93,1),2)=0,""," ")</f>
        <v xml:space="preserve"> </v>
      </c>
      <c r="M44" s="338" t="str">
        <f>IF(MOD(MATCH(J44,Calculs!$S$4:$S$93,1),2)=0,""," ")</f>
        <v xml:space="preserve"> </v>
      </c>
      <c r="N44" s="347" t="str">
        <f>IF(MOD(MATCH(J44,Calculs!$T$4:$T$93,1),2)=0,""," ")</f>
        <v xml:space="preserve"> </v>
      </c>
      <c r="O44" s="339"/>
      <c r="P44" s="337" t="str">
        <f t="shared" si="2"/>
        <v>Sa</v>
      </c>
      <c r="Q44" s="338">
        <f>+Q42+1</f>
        <v>44275</v>
      </c>
      <c r="R44" s="344" t="str">
        <f>IF(ISNA(VLOOKUP(Q44,TAB_FERIES_PURS,4,FALSE)),"",VLOOKUP(Q44,TAB_FERIES_PURS,4,FALSE))</f>
        <v/>
      </c>
      <c r="S44" s="338" t="str">
        <f>IF(MOD(MATCH(Q44,Calculs!$R$4:$R$93,1),2)=0,""," ")</f>
        <v/>
      </c>
      <c r="T44" s="338" t="str">
        <f>IF(MOD(MATCH(Q44,Calculs!$S$4:$S$93,1),2)=0,""," ")</f>
        <v/>
      </c>
      <c r="U44" s="347" t="str">
        <f>IF(MOD(MATCH(Q44,Calculs!$T$4:$T$93,1),2)=0,""," ")</f>
        <v/>
      </c>
      <c r="V44" s="339"/>
      <c r="W44" s="337" t="str">
        <f t="shared" si="3"/>
        <v>Ma</v>
      </c>
      <c r="X44" s="338">
        <f>+X42+1</f>
        <v>44306</v>
      </c>
      <c r="Y44" s="344" t="str">
        <f>IF(ISNA(VLOOKUP(X44,TAB_FERIES_PURS,4,FALSE)),"",VLOOKUP(X44,TAB_FERIES_PURS,4,FALSE))</f>
        <v/>
      </c>
      <c r="Z44" s="338" t="str">
        <f>IF(MOD(MATCH(X44,Calculs!$R$4:$R$93,1),2)=0,""," ")</f>
        <v xml:space="preserve"> </v>
      </c>
      <c r="AA44" s="338" t="str">
        <f>IF(MOD(MATCH(X44,Calculs!$S$4:$S$93,1),2)=0,""," ")</f>
        <v/>
      </c>
      <c r="AB44" s="347" t="str">
        <f>IF(MOD(MATCH(X44,Calculs!$T$4:$T$93,1),2)=0,""," ")</f>
        <v xml:space="preserve"> </v>
      </c>
      <c r="AC44" s="339"/>
      <c r="AD44" s="337" t="str">
        <f t="shared" si="4"/>
        <v>Je</v>
      </c>
      <c r="AE44" s="338">
        <f>+AE42+1</f>
        <v>44336</v>
      </c>
      <c r="AF44" s="344" t="str">
        <f>IF(ISNA(VLOOKUP(AE44,TAB_FERIES_PURS,4,FALSE)),"",VLOOKUP(AE44,TAB_FERIES_PURS,4,FALSE))</f>
        <v/>
      </c>
      <c r="AG44" s="338" t="str">
        <f>IF(MOD(MATCH(AE44,Calculs!$R$4:$R$93,1),2)=0,""," ")</f>
        <v/>
      </c>
      <c r="AH44" s="338" t="str">
        <f>IF(MOD(MATCH(AE44,Calculs!$S$4:$S$93,1),2)=0,""," ")</f>
        <v/>
      </c>
      <c r="AI44" s="347" t="str">
        <f>IF(MOD(MATCH(AE44,Calculs!$T$4:$T$93,1),2)=0,""," ")</f>
        <v/>
      </c>
      <c r="AJ44" s="339"/>
      <c r="AK44" s="337" t="str">
        <f t="shared" si="5"/>
        <v>Di</v>
      </c>
      <c r="AL44" s="338">
        <f>+AL42+1</f>
        <v>44367</v>
      </c>
      <c r="AM44" s="344" t="str">
        <f>IF(ISNA(VLOOKUP(AL44,TAB_FERIES_PURS,4,FALSE)),"",VLOOKUP(AL44,TAB_FERIES_PURS,4,FALSE))</f>
        <v/>
      </c>
      <c r="AN44" s="338" t="str">
        <f>IF(MOD(MATCH(AL44,Calculs!$R$4:$R$93,1),2)=0,""," ")</f>
        <v/>
      </c>
      <c r="AO44" s="338" t="str">
        <f>IF(MOD(MATCH(AL44,Calculs!$S$4:$S$93,1),2)=0,""," ")</f>
        <v/>
      </c>
      <c r="AP44" s="347" t="str">
        <f>IF(MOD(MATCH(AL44,Calculs!$T$4:$T$93,1),2)=0,""," ")</f>
        <v/>
      </c>
      <c r="AQ44" s="339"/>
      <c r="AR44" s="337" t="str">
        <f t="shared" si="6"/>
        <v>Ma</v>
      </c>
      <c r="AS44" s="338">
        <f>+AS42+1</f>
        <v>44397</v>
      </c>
      <c r="AT44" s="344" t="str">
        <f>IF(ISNA(VLOOKUP(AS44,TAB_FERIES_PURS,4,FALSE)),"",VLOOKUP(AS44,TAB_FERIES_PURS,4,FALSE))</f>
        <v/>
      </c>
      <c r="AU44" s="338" t="str">
        <f>IF(MOD(MATCH(AS44,Calculs!$R$4:$R$93,1),2)=0,""," ")</f>
        <v xml:space="preserve"> </v>
      </c>
      <c r="AV44" s="338" t="str">
        <f>IF(MOD(MATCH(AS44,Calculs!$S$4:$S$93,1),2)=0,""," ")</f>
        <v xml:space="preserve"> </v>
      </c>
      <c r="AW44" s="347" t="str">
        <f>IF(MOD(MATCH(AS44,Calculs!$T$4:$T$93,1),2)=0,""," ")</f>
        <v xml:space="preserve"> </v>
      </c>
      <c r="AX44" s="339"/>
      <c r="AY44" s="337" t="str">
        <f t="shared" si="7"/>
        <v>Ve</v>
      </c>
      <c r="AZ44" s="338">
        <f>+AZ42+1</f>
        <v>44428</v>
      </c>
      <c r="BA44" s="344" t="str">
        <f>IF(ISNA(VLOOKUP(AZ44,TAB_FERIES_PURS,4,FALSE)),"",VLOOKUP(AZ44,TAB_FERIES_PURS,4,FALSE))</f>
        <v/>
      </c>
      <c r="BB44" s="338" t="str">
        <f>IF(MOD(MATCH(AZ44,Calculs!$R$4:$R$93,1),2)=0,""," ")</f>
        <v xml:space="preserve"> </v>
      </c>
      <c r="BC44" s="338" t="str">
        <f>IF(MOD(MATCH(AZ44,Calculs!$S$4:$S$93,1),2)=0,""," ")</f>
        <v xml:space="preserve"> </v>
      </c>
      <c r="BD44" s="347" t="str">
        <f>IF(MOD(MATCH(AZ44,Calculs!$T$4:$T$93,1),2)=0,""," ")</f>
        <v xml:space="preserve"> </v>
      </c>
      <c r="BE44" s="339"/>
      <c r="BF44" s="337" t="str">
        <f t="shared" si="8"/>
        <v>Lu</v>
      </c>
      <c r="BG44" s="338">
        <f>+BG42+1</f>
        <v>44459</v>
      </c>
      <c r="BH44" s="344" t="str">
        <f>IF(ISNA(VLOOKUP(BG44,TAB_FERIES_PURS,4,FALSE)),"",VLOOKUP(BG44,TAB_FERIES_PURS,4,FALSE))</f>
        <v/>
      </c>
      <c r="BI44" s="338" t="str">
        <f>IF(MOD(MATCH(BG44,Calculs!$R$4:$R$93,1),2)=0,""," ")</f>
        <v/>
      </c>
      <c r="BJ44" s="338" t="str">
        <f>IF(MOD(MATCH(BG44,Calculs!$S$4:$S$93,1),2)=0,""," ")</f>
        <v/>
      </c>
      <c r="BK44" s="347" t="str">
        <f>IF(MOD(MATCH(BG44,Calculs!$T$4:$T$93,1),2)=0,""," ")</f>
        <v/>
      </c>
      <c r="BL44" s="339"/>
      <c r="BM44" s="337" t="str">
        <f t="shared" si="9"/>
        <v>Me</v>
      </c>
      <c r="BN44" s="338">
        <f>+BN42+1</f>
        <v>44489</v>
      </c>
      <c r="BO44" s="344" t="str">
        <f>IF(ISNA(VLOOKUP(BN44,TAB_FERIES_PURS,4,FALSE)),"",VLOOKUP(BN44,TAB_FERIES_PURS,4,FALSE))</f>
        <v/>
      </c>
      <c r="BP44" s="338" t="str">
        <f>IF(MOD(MATCH(BN44,Calculs!$R$4:$R$93,1),2)=0,""," ")</f>
        <v xml:space="preserve"> </v>
      </c>
      <c r="BQ44" s="338" t="str">
        <f>IF(MOD(MATCH(BN44,Calculs!$S$4:$S$93,1),2)=0,""," ")</f>
        <v xml:space="preserve"> </v>
      </c>
      <c r="BR44" s="347" t="str">
        <f>IF(MOD(MATCH(BN44,Calculs!$T$4:$T$93,1),2)=0,""," ")</f>
        <v xml:space="preserve"> </v>
      </c>
      <c r="BS44" s="339"/>
      <c r="BT44" s="337" t="str">
        <f t="shared" si="10"/>
        <v>Sa</v>
      </c>
      <c r="BU44" s="338">
        <f>+BU42+1</f>
        <v>44520</v>
      </c>
      <c r="BV44" s="344" t="str">
        <f>IF(ISNA(VLOOKUP(BU44,TAB_FERIES_PURS,4,FALSE)),"",VLOOKUP(BU44,TAB_FERIES_PURS,4,FALSE))</f>
        <v/>
      </c>
      <c r="BW44" s="338" t="str">
        <f>IF(MOD(MATCH(BU44,Calculs!$R$4:$R$93,1),2)=0,""," ")</f>
        <v/>
      </c>
      <c r="BX44" s="338" t="str">
        <f>IF(MOD(MATCH(BU44,Calculs!$S$4:$S$93,1),2)=0,""," ")</f>
        <v/>
      </c>
      <c r="BY44" s="347" t="str">
        <f>IF(MOD(MATCH(BU44,Calculs!$T$4:$T$93,1),2)=0,""," ")</f>
        <v/>
      </c>
      <c r="BZ44" s="339"/>
      <c r="CA44" s="337" t="str">
        <f t="shared" si="11"/>
        <v>Lu</v>
      </c>
      <c r="CB44" s="338">
        <f>+CB42+1</f>
        <v>44550</v>
      </c>
      <c r="CC44" s="344" t="str">
        <f>IF(ISNA(VLOOKUP(CB44,TAB_FERIES_PURS,4,FALSE)),"",VLOOKUP(CB44,TAB_FERIES_PURS,4,FALSE))</f>
        <v/>
      </c>
      <c r="CD44" s="338" t="str">
        <f>IF(MOD(MATCH(CB44,Calculs!$R$4:$R$93,1),2)=0,""," ")</f>
        <v xml:space="preserve"> </v>
      </c>
      <c r="CE44" s="338" t="str">
        <f>IF(MOD(MATCH(CB44,Calculs!$S$4:$S$93,1),2)=0,""," ")</f>
        <v xml:space="preserve"> </v>
      </c>
      <c r="CF44" s="347" t="str">
        <f>IF(MOD(MATCH(CB44,Calculs!$T$4:$T$93,1),2)=0,""," ")</f>
        <v xml:space="preserve"> </v>
      </c>
      <c r="CG44" s="360"/>
    </row>
    <row r="45" spans="1:85" s="345" customFormat="1" ht="4" customHeight="1" x14ac:dyDescent="0.15">
      <c r="A45" s="359"/>
      <c r="B45" s="337"/>
      <c r="C45" s="338"/>
      <c r="D45" s="340"/>
      <c r="E45" s="339"/>
      <c r="F45" s="339"/>
      <c r="G45" s="347"/>
      <c r="H45" s="339"/>
      <c r="I45" s="337"/>
      <c r="J45" s="338"/>
      <c r="K45" s="340"/>
      <c r="L45" s="339"/>
      <c r="M45" s="339"/>
      <c r="N45" s="347"/>
      <c r="O45" s="339"/>
      <c r="P45" s="337"/>
      <c r="Q45" s="338"/>
      <c r="R45" s="340"/>
      <c r="S45" s="339"/>
      <c r="T45" s="339"/>
      <c r="U45" s="347"/>
      <c r="V45" s="339"/>
      <c r="W45" s="337"/>
      <c r="X45" s="338"/>
      <c r="Y45" s="340"/>
      <c r="Z45" s="339"/>
      <c r="AA45" s="339"/>
      <c r="AB45" s="347"/>
      <c r="AC45" s="339"/>
      <c r="AD45" s="337"/>
      <c r="AE45" s="338"/>
      <c r="AF45" s="340"/>
      <c r="AG45" s="339"/>
      <c r="AH45" s="339"/>
      <c r="AI45" s="347"/>
      <c r="AJ45" s="339"/>
      <c r="AK45" s="337"/>
      <c r="AL45" s="338"/>
      <c r="AM45" s="340"/>
      <c r="AN45" s="339"/>
      <c r="AO45" s="339"/>
      <c r="AP45" s="347"/>
      <c r="AQ45" s="339"/>
      <c r="AR45" s="337"/>
      <c r="AS45" s="338"/>
      <c r="AT45" s="340"/>
      <c r="AU45" s="339"/>
      <c r="AV45" s="339"/>
      <c r="AW45" s="347"/>
      <c r="AX45" s="339"/>
      <c r="AY45" s="337"/>
      <c r="AZ45" s="338"/>
      <c r="BA45" s="340"/>
      <c r="BB45" s="339"/>
      <c r="BC45" s="339"/>
      <c r="BD45" s="347"/>
      <c r="BE45" s="339"/>
      <c r="BF45" s="337"/>
      <c r="BG45" s="338"/>
      <c r="BH45" s="340"/>
      <c r="BI45" s="339"/>
      <c r="BJ45" s="339"/>
      <c r="BK45" s="347"/>
      <c r="BL45" s="339"/>
      <c r="BM45" s="337"/>
      <c r="BN45" s="338"/>
      <c r="BO45" s="340"/>
      <c r="BP45" s="339"/>
      <c r="BQ45" s="339"/>
      <c r="BR45" s="347"/>
      <c r="BS45" s="339"/>
      <c r="BT45" s="337"/>
      <c r="BU45" s="338"/>
      <c r="BV45" s="340"/>
      <c r="BW45" s="339"/>
      <c r="BX45" s="339"/>
      <c r="BY45" s="347"/>
      <c r="BZ45" s="339"/>
      <c r="CA45" s="337"/>
      <c r="CB45" s="338"/>
      <c r="CC45" s="340"/>
      <c r="CD45" s="339"/>
      <c r="CE45" s="339"/>
      <c r="CF45" s="347"/>
      <c r="CG45" s="360"/>
    </row>
    <row r="46" spans="1:85" s="345" customFormat="1" ht="18" customHeight="1" x14ac:dyDescent="0.15">
      <c r="A46" s="359"/>
      <c r="B46" s="337" t="str">
        <f t="shared" si="0"/>
        <v>Je</v>
      </c>
      <c r="C46" s="338">
        <f>+C44+1</f>
        <v>44217</v>
      </c>
      <c r="D46" s="344" t="str">
        <f>IF(ISNA(VLOOKUP(C46,TAB_FERIES_PURS,4,FALSE)),"",VLOOKUP(C46,TAB_FERIES_PURS,4,FALSE))</f>
        <v/>
      </c>
      <c r="E46" s="338" t="str">
        <f>IF(MOD(MATCH(C46,Calculs!$R$4:$R$93,1),2)=0,""," ")</f>
        <v/>
      </c>
      <c r="F46" s="338" t="str">
        <f>IF(MOD(MATCH(C46,Calculs!$S$4:$S$93,1),2)=0,""," ")</f>
        <v/>
      </c>
      <c r="G46" s="347" t="str">
        <f>IF(MOD(MATCH(C46,Calculs!$T$4:$T$93,1),2)=0,""," ")</f>
        <v/>
      </c>
      <c r="H46" s="339"/>
      <c r="I46" s="337" t="str">
        <f t="shared" si="1"/>
        <v>Di</v>
      </c>
      <c r="J46" s="338">
        <f>+J44+1</f>
        <v>44248</v>
      </c>
      <c r="K46" s="344" t="str">
        <f>IF(ISNA(VLOOKUP(J46,TAB_FERIES_PURS,4,FALSE)),"",VLOOKUP(J46,TAB_FERIES_PURS,4,FALSE))</f>
        <v/>
      </c>
      <c r="L46" s="338" t="str">
        <f>IF(MOD(MATCH(J46,Calculs!$R$4:$R$93,1),2)=0,""," ")</f>
        <v xml:space="preserve"> </v>
      </c>
      <c r="M46" s="338" t="str">
        <f>IF(MOD(MATCH(J46,Calculs!$S$4:$S$93,1),2)=0,""," ")</f>
        <v xml:space="preserve"> </v>
      </c>
      <c r="N46" s="347" t="str">
        <f>IF(MOD(MATCH(J46,Calculs!$T$4:$T$93,1),2)=0,""," ")</f>
        <v xml:space="preserve"> </v>
      </c>
      <c r="O46" s="339"/>
      <c r="P46" s="337" t="str">
        <f t="shared" si="2"/>
        <v>Di</v>
      </c>
      <c r="Q46" s="338">
        <f>+Q44+1</f>
        <v>44276</v>
      </c>
      <c r="R46" s="344" t="str">
        <f>IF(ISNA(VLOOKUP(Q46,TAB_FERIES_PURS,4,FALSE)),"",VLOOKUP(Q46,TAB_FERIES_PURS,4,FALSE))</f>
        <v/>
      </c>
      <c r="S46" s="338" t="str">
        <f>IF(MOD(MATCH(Q46,Calculs!$R$4:$R$93,1),2)=0,""," ")</f>
        <v/>
      </c>
      <c r="T46" s="338" t="str">
        <f>IF(MOD(MATCH(Q46,Calculs!$S$4:$S$93,1),2)=0,""," ")</f>
        <v/>
      </c>
      <c r="U46" s="347" t="str">
        <f>IF(MOD(MATCH(Q46,Calculs!$T$4:$T$93,1),2)=0,""," ")</f>
        <v/>
      </c>
      <c r="V46" s="339"/>
      <c r="W46" s="337" t="str">
        <f t="shared" si="3"/>
        <v>Me</v>
      </c>
      <c r="X46" s="338">
        <f>+X44+1</f>
        <v>44307</v>
      </c>
      <c r="Y46" s="344" t="str">
        <f>IF(ISNA(VLOOKUP(X46,TAB_FERIES_PURS,4,FALSE)),"",VLOOKUP(X46,TAB_FERIES_PURS,4,FALSE))</f>
        <v/>
      </c>
      <c r="Z46" s="338" t="str">
        <f>IF(MOD(MATCH(X46,Calculs!$R$4:$R$93,1),2)=0,""," ")</f>
        <v xml:space="preserve"> </v>
      </c>
      <c r="AA46" s="338" t="str">
        <f>IF(MOD(MATCH(X46,Calculs!$S$4:$S$93,1),2)=0,""," ")</f>
        <v/>
      </c>
      <c r="AB46" s="347" t="str">
        <f>IF(MOD(MATCH(X46,Calculs!$T$4:$T$93,1),2)=0,""," ")</f>
        <v xml:space="preserve"> </v>
      </c>
      <c r="AC46" s="339"/>
      <c r="AD46" s="337" t="str">
        <f t="shared" si="4"/>
        <v>Ve</v>
      </c>
      <c r="AE46" s="338">
        <f>+AE44+1</f>
        <v>44337</v>
      </c>
      <c r="AF46" s="344" t="str">
        <f>IF(ISNA(VLOOKUP(AE46,TAB_FERIES_PURS,4,FALSE)),"",VLOOKUP(AE46,TAB_FERIES_PURS,4,FALSE))</f>
        <v/>
      </c>
      <c r="AG46" s="338" t="str">
        <f>IF(MOD(MATCH(AE46,Calculs!$R$4:$R$93,1),2)=0,""," ")</f>
        <v/>
      </c>
      <c r="AH46" s="338" t="str">
        <f>IF(MOD(MATCH(AE46,Calculs!$S$4:$S$93,1),2)=0,""," ")</f>
        <v/>
      </c>
      <c r="AI46" s="347" t="str">
        <f>IF(MOD(MATCH(AE46,Calculs!$T$4:$T$93,1),2)=0,""," ")</f>
        <v/>
      </c>
      <c r="AJ46" s="339"/>
      <c r="AK46" s="337" t="str">
        <f t="shared" si="5"/>
        <v>Lu</v>
      </c>
      <c r="AL46" s="338">
        <f>+AL44+1</f>
        <v>44368</v>
      </c>
      <c r="AM46" s="344" t="str">
        <f>IF(ISNA(VLOOKUP(AL46,TAB_FERIES_PURS,4,FALSE)),"",VLOOKUP(AL46,TAB_FERIES_PURS,4,FALSE))</f>
        <v/>
      </c>
      <c r="AN46" s="338" t="str">
        <f>IF(MOD(MATCH(AL46,Calculs!$R$4:$R$93,1),2)=0,""," ")</f>
        <v/>
      </c>
      <c r="AO46" s="338" t="str">
        <f>IF(MOD(MATCH(AL46,Calculs!$S$4:$S$93,1),2)=0,""," ")</f>
        <v/>
      </c>
      <c r="AP46" s="347" t="str">
        <f>IF(MOD(MATCH(AL46,Calculs!$T$4:$T$93,1),2)=0,""," ")</f>
        <v/>
      </c>
      <c r="AQ46" s="339"/>
      <c r="AR46" s="337" t="str">
        <f t="shared" si="6"/>
        <v>Me</v>
      </c>
      <c r="AS46" s="338">
        <f>+AS44+1</f>
        <v>44398</v>
      </c>
      <c r="AT46" s="344" t="str">
        <f>IF(ISNA(VLOOKUP(AS46,TAB_FERIES_PURS,4,FALSE)),"",VLOOKUP(AS46,TAB_FERIES_PURS,4,FALSE))</f>
        <v/>
      </c>
      <c r="AU46" s="338" t="str">
        <f>IF(MOD(MATCH(AS46,Calculs!$R$4:$R$93,1),2)=0,""," ")</f>
        <v xml:space="preserve"> </v>
      </c>
      <c r="AV46" s="338" t="str">
        <f>IF(MOD(MATCH(AS46,Calculs!$S$4:$S$93,1),2)=0,""," ")</f>
        <v xml:space="preserve"> </v>
      </c>
      <c r="AW46" s="347" t="str">
        <f>IF(MOD(MATCH(AS46,Calculs!$T$4:$T$93,1),2)=0,""," ")</f>
        <v xml:space="preserve"> </v>
      </c>
      <c r="AX46" s="339"/>
      <c r="AY46" s="337" t="str">
        <f t="shared" si="7"/>
        <v>Sa</v>
      </c>
      <c r="AZ46" s="338">
        <f>+AZ44+1</f>
        <v>44429</v>
      </c>
      <c r="BA46" s="344" t="str">
        <f>IF(ISNA(VLOOKUP(AZ46,TAB_FERIES_PURS,4,FALSE)),"",VLOOKUP(AZ46,TAB_FERIES_PURS,4,FALSE))</f>
        <v/>
      </c>
      <c r="BB46" s="338" t="str">
        <f>IF(MOD(MATCH(AZ46,Calculs!$R$4:$R$93,1),2)=0,""," ")</f>
        <v xml:space="preserve"> </v>
      </c>
      <c r="BC46" s="338" t="str">
        <f>IF(MOD(MATCH(AZ46,Calculs!$S$4:$S$93,1),2)=0,""," ")</f>
        <v xml:space="preserve"> </v>
      </c>
      <c r="BD46" s="347" t="str">
        <f>IF(MOD(MATCH(AZ46,Calculs!$T$4:$T$93,1),2)=0,""," ")</f>
        <v xml:space="preserve"> </v>
      </c>
      <c r="BE46" s="339"/>
      <c r="BF46" s="337" t="str">
        <f t="shared" si="8"/>
        <v>Ma</v>
      </c>
      <c r="BG46" s="338">
        <f>+BG44+1</f>
        <v>44460</v>
      </c>
      <c r="BH46" s="344" t="str">
        <f>IF(ISNA(VLOOKUP(BG46,TAB_FERIES_PURS,4,FALSE)),"",VLOOKUP(BG46,TAB_FERIES_PURS,4,FALSE))</f>
        <v/>
      </c>
      <c r="BI46" s="338" t="str">
        <f>IF(MOD(MATCH(BG46,Calculs!$R$4:$R$93,1),2)=0,""," ")</f>
        <v/>
      </c>
      <c r="BJ46" s="338" t="str">
        <f>IF(MOD(MATCH(BG46,Calculs!$S$4:$S$93,1),2)=0,""," ")</f>
        <v/>
      </c>
      <c r="BK46" s="347" t="str">
        <f>IF(MOD(MATCH(BG46,Calculs!$T$4:$T$93,1),2)=0,""," ")</f>
        <v/>
      </c>
      <c r="BL46" s="339"/>
      <c r="BM46" s="337" t="str">
        <f t="shared" si="9"/>
        <v>Je</v>
      </c>
      <c r="BN46" s="338">
        <f>+BN44+1</f>
        <v>44490</v>
      </c>
      <c r="BO46" s="344" t="str">
        <f>IF(ISNA(VLOOKUP(BN46,TAB_FERIES_PURS,4,FALSE)),"",VLOOKUP(BN46,TAB_FERIES_PURS,4,FALSE))</f>
        <v/>
      </c>
      <c r="BP46" s="338" t="str">
        <f>IF(MOD(MATCH(BN46,Calculs!$R$4:$R$93,1),2)=0,""," ")</f>
        <v xml:space="preserve"> </v>
      </c>
      <c r="BQ46" s="338" t="str">
        <f>IF(MOD(MATCH(BN46,Calculs!$S$4:$S$93,1),2)=0,""," ")</f>
        <v xml:space="preserve"> </v>
      </c>
      <c r="BR46" s="347" t="str">
        <f>IF(MOD(MATCH(BN46,Calculs!$T$4:$T$93,1),2)=0,""," ")</f>
        <v xml:space="preserve"> </v>
      </c>
      <c r="BS46" s="339"/>
      <c r="BT46" s="337" t="str">
        <f t="shared" si="10"/>
        <v>Di</v>
      </c>
      <c r="BU46" s="338">
        <f>+BU44+1</f>
        <v>44521</v>
      </c>
      <c r="BV46" s="344" t="str">
        <f>IF(ISNA(VLOOKUP(BU46,TAB_FERIES_PURS,4,FALSE)),"",VLOOKUP(BU46,TAB_FERIES_PURS,4,FALSE))</f>
        <v/>
      </c>
      <c r="BW46" s="338" t="str">
        <f>IF(MOD(MATCH(BU46,Calculs!$R$4:$R$93,1),2)=0,""," ")</f>
        <v/>
      </c>
      <c r="BX46" s="338" t="str">
        <f>IF(MOD(MATCH(BU46,Calculs!$S$4:$S$93,1),2)=0,""," ")</f>
        <v/>
      </c>
      <c r="BY46" s="347" t="str">
        <f>IF(MOD(MATCH(BU46,Calculs!$T$4:$T$93,1),2)=0,""," ")</f>
        <v/>
      </c>
      <c r="BZ46" s="339"/>
      <c r="CA46" s="337" t="str">
        <f t="shared" si="11"/>
        <v>Ma</v>
      </c>
      <c r="CB46" s="338">
        <f>+CB44+1</f>
        <v>44551</v>
      </c>
      <c r="CC46" s="344" t="str">
        <f>IF(ISNA(VLOOKUP(CB46,TAB_FERIES_PURS,4,FALSE)),"",VLOOKUP(CB46,TAB_FERIES_PURS,4,FALSE))</f>
        <v/>
      </c>
      <c r="CD46" s="338" t="str">
        <f>IF(MOD(MATCH(CB46,Calculs!$R$4:$R$93,1),2)=0,""," ")</f>
        <v xml:space="preserve"> </v>
      </c>
      <c r="CE46" s="338" t="str">
        <f>IF(MOD(MATCH(CB46,Calculs!$S$4:$S$93,1),2)=0,""," ")</f>
        <v xml:space="preserve"> </v>
      </c>
      <c r="CF46" s="347" t="str">
        <f>IF(MOD(MATCH(CB46,Calculs!$T$4:$T$93,1),2)=0,""," ")</f>
        <v xml:space="preserve"> </v>
      </c>
      <c r="CG46" s="360"/>
    </row>
    <row r="47" spans="1:85" s="345" customFormat="1" ht="4" customHeight="1" x14ac:dyDescent="0.15">
      <c r="A47" s="359"/>
      <c r="B47" s="337"/>
      <c r="C47" s="338"/>
      <c r="D47" s="340"/>
      <c r="E47" s="339"/>
      <c r="F47" s="339"/>
      <c r="G47" s="347"/>
      <c r="H47" s="339"/>
      <c r="I47" s="337"/>
      <c r="J47" s="338"/>
      <c r="K47" s="340"/>
      <c r="L47" s="339"/>
      <c r="M47" s="339"/>
      <c r="N47" s="347"/>
      <c r="O47" s="339"/>
      <c r="P47" s="337"/>
      <c r="Q47" s="338"/>
      <c r="R47" s="340"/>
      <c r="S47" s="339"/>
      <c r="T47" s="339"/>
      <c r="U47" s="347"/>
      <c r="V47" s="339"/>
      <c r="W47" s="337"/>
      <c r="X47" s="338"/>
      <c r="Y47" s="340"/>
      <c r="Z47" s="339"/>
      <c r="AA47" s="339"/>
      <c r="AB47" s="347"/>
      <c r="AC47" s="339"/>
      <c r="AD47" s="337"/>
      <c r="AE47" s="338"/>
      <c r="AF47" s="340"/>
      <c r="AG47" s="339"/>
      <c r="AH47" s="339"/>
      <c r="AI47" s="347"/>
      <c r="AJ47" s="339"/>
      <c r="AK47" s="337"/>
      <c r="AL47" s="338"/>
      <c r="AM47" s="340"/>
      <c r="AN47" s="339"/>
      <c r="AO47" s="339"/>
      <c r="AP47" s="347"/>
      <c r="AQ47" s="339"/>
      <c r="AR47" s="337"/>
      <c r="AS47" s="338"/>
      <c r="AT47" s="340"/>
      <c r="AU47" s="339"/>
      <c r="AV47" s="339"/>
      <c r="AW47" s="347"/>
      <c r="AX47" s="339"/>
      <c r="AY47" s="337"/>
      <c r="AZ47" s="338"/>
      <c r="BA47" s="340"/>
      <c r="BB47" s="339"/>
      <c r="BC47" s="339"/>
      <c r="BD47" s="347"/>
      <c r="BE47" s="339"/>
      <c r="BF47" s="337"/>
      <c r="BG47" s="338"/>
      <c r="BH47" s="340"/>
      <c r="BI47" s="339"/>
      <c r="BJ47" s="339"/>
      <c r="BK47" s="347"/>
      <c r="BL47" s="339"/>
      <c r="BM47" s="337"/>
      <c r="BN47" s="338"/>
      <c r="BO47" s="340"/>
      <c r="BP47" s="339"/>
      <c r="BQ47" s="339"/>
      <c r="BR47" s="347"/>
      <c r="BS47" s="339"/>
      <c r="BT47" s="337"/>
      <c r="BU47" s="338"/>
      <c r="BV47" s="340"/>
      <c r="BW47" s="339"/>
      <c r="BX47" s="339"/>
      <c r="BY47" s="347"/>
      <c r="BZ47" s="339"/>
      <c r="CA47" s="337"/>
      <c r="CB47" s="338"/>
      <c r="CC47" s="340"/>
      <c r="CD47" s="339"/>
      <c r="CE47" s="339"/>
      <c r="CF47" s="347"/>
      <c r="CG47" s="360"/>
    </row>
    <row r="48" spans="1:85" s="345" customFormat="1" ht="18" customHeight="1" x14ac:dyDescent="0.15">
      <c r="A48" s="359"/>
      <c r="B48" s="337" t="str">
        <f t="shared" si="0"/>
        <v>Ve</v>
      </c>
      <c r="C48" s="338">
        <f>+C46+1</f>
        <v>44218</v>
      </c>
      <c r="D48" s="344" t="str">
        <f>IF(ISNA(VLOOKUP(C48,TAB_FERIES_PURS,4,FALSE)),"",VLOOKUP(C48,TAB_FERIES_PURS,4,FALSE))</f>
        <v/>
      </c>
      <c r="E48" s="338" t="str">
        <f>IF(MOD(MATCH(C48,Calculs!$R$4:$R$93,1),2)=0,""," ")</f>
        <v/>
      </c>
      <c r="F48" s="338" t="str">
        <f>IF(MOD(MATCH(C48,Calculs!$S$4:$S$93,1),2)=0,""," ")</f>
        <v/>
      </c>
      <c r="G48" s="347" t="str">
        <f>IF(MOD(MATCH(C48,Calculs!$T$4:$T$93,1),2)=0,""," ")</f>
        <v/>
      </c>
      <c r="H48" s="339"/>
      <c r="I48" s="337" t="str">
        <f t="shared" si="1"/>
        <v>Lu</v>
      </c>
      <c r="J48" s="338">
        <f>+J46+1</f>
        <v>44249</v>
      </c>
      <c r="K48" s="344" t="str">
        <f>IF(ISNA(VLOOKUP(J48,TAB_FERIES_PURS,4,FALSE)),"",VLOOKUP(J48,TAB_FERIES_PURS,4,FALSE))</f>
        <v/>
      </c>
      <c r="L48" s="338" t="str">
        <f>IF(MOD(MATCH(J48,Calculs!$R$4:$R$93,1),2)=0,""," ")</f>
        <v/>
      </c>
      <c r="M48" s="338" t="str">
        <f>IF(MOD(MATCH(J48,Calculs!$S$4:$S$93,1),2)=0,""," ")</f>
        <v xml:space="preserve"> </v>
      </c>
      <c r="N48" s="347" t="str">
        <f>IF(MOD(MATCH(J48,Calculs!$T$4:$T$93,1),2)=0,""," ")</f>
        <v xml:space="preserve"> </v>
      </c>
      <c r="O48" s="339"/>
      <c r="P48" s="337" t="str">
        <f t="shared" si="2"/>
        <v>Lu</v>
      </c>
      <c r="Q48" s="338">
        <f>+Q46+1</f>
        <v>44277</v>
      </c>
      <c r="R48" s="344" t="str">
        <f>IF(ISNA(VLOOKUP(Q48,TAB_FERIES_PURS,4,FALSE)),"",VLOOKUP(Q48,TAB_FERIES_PURS,4,FALSE))</f>
        <v/>
      </c>
      <c r="S48" s="338" t="str">
        <f>IF(MOD(MATCH(Q48,Calculs!$R$4:$R$93,1),2)=0,""," ")</f>
        <v/>
      </c>
      <c r="T48" s="338" t="str">
        <f>IF(MOD(MATCH(Q48,Calculs!$S$4:$S$93,1),2)=0,""," ")</f>
        <v/>
      </c>
      <c r="U48" s="347" t="str">
        <f>IF(MOD(MATCH(Q48,Calculs!$T$4:$T$93,1),2)=0,""," ")</f>
        <v/>
      </c>
      <c r="V48" s="339"/>
      <c r="W48" s="337" t="str">
        <f t="shared" si="3"/>
        <v>Je</v>
      </c>
      <c r="X48" s="338">
        <f>+X46+1</f>
        <v>44308</v>
      </c>
      <c r="Y48" s="344" t="str">
        <f>IF(ISNA(VLOOKUP(X48,TAB_FERIES_PURS,4,FALSE)),"",VLOOKUP(X48,TAB_FERIES_PURS,4,FALSE))</f>
        <v/>
      </c>
      <c r="Z48" s="338" t="str">
        <f>IF(MOD(MATCH(X48,Calculs!$R$4:$R$93,1),2)=0,""," ")</f>
        <v xml:space="preserve"> </v>
      </c>
      <c r="AA48" s="338" t="str">
        <f>IF(MOD(MATCH(X48,Calculs!$S$4:$S$93,1),2)=0,""," ")</f>
        <v/>
      </c>
      <c r="AB48" s="347" t="str">
        <f>IF(MOD(MATCH(X48,Calculs!$T$4:$T$93,1),2)=0,""," ")</f>
        <v xml:space="preserve"> </v>
      </c>
      <c r="AC48" s="339"/>
      <c r="AD48" s="337" t="str">
        <f t="shared" si="4"/>
        <v>Sa</v>
      </c>
      <c r="AE48" s="338">
        <f>+AE46+1</f>
        <v>44338</v>
      </c>
      <c r="AF48" s="344" t="str">
        <f>IF(ISNA(VLOOKUP(AE48,TAB_FERIES_PURS,4,FALSE)),"",VLOOKUP(AE48,TAB_FERIES_PURS,4,FALSE))</f>
        <v/>
      </c>
      <c r="AG48" s="338" t="str">
        <f>IF(MOD(MATCH(AE48,Calculs!$R$4:$R$93,1),2)=0,""," ")</f>
        <v/>
      </c>
      <c r="AH48" s="338" t="str">
        <f>IF(MOD(MATCH(AE48,Calculs!$S$4:$S$93,1),2)=0,""," ")</f>
        <v/>
      </c>
      <c r="AI48" s="347" t="str">
        <f>IF(MOD(MATCH(AE48,Calculs!$T$4:$T$93,1),2)=0,""," ")</f>
        <v/>
      </c>
      <c r="AJ48" s="339"/>
      <c r="AK48" s="337" t="str">
        <f t="shared" si="5"/>
        <v>Ma</v>
      </c>
      <c r="AL48" s="338">
        <f>+AL46+1</f>
        <v>44369</v>
      </c>
      <c r="AM48" s="344" t="str">
        <f>IF(ISNA(VLOOKUP(AL48,TAB_FERIES_PURS,4,FALSE)),"",VLOOKUP(AL48,TAB_FERIES_PURS,4,FALSE))</f>
        <v/>
      </c>
      <c r="AN48" s="338" t="str">
        <f>IF(MOD(MATCH(AL48,Calculs!$R$4:$R$93,1),2)=0,""," ")</f>
        <v/>
      </c>
      <c r="AO48" s="338" t="str">
        <f>IF(MOD(MATCH(AL48,Calculs!$S$4:$S$93,1),2)=0,""," ")</f>
        <v/>
      </c>
      <c r="AP48" s="347" t="str">
        <f>IF(MOD(MATCH(AL48,Calculs!$T$4:$T$93,1),2)=0,""," ")</f>
        <v/>
      </c>
      <c r="AQ48" s="339"/>
      <c r="AR48" s="337" t="str">
        <f t="shared" si="6"/>
        <v>Je</v>
      </c>
      <c r="AS48" s="338">
        <f>+AS46+1</f>
        <v>44399</v>
      </c>
      <c r="AT48" s="344" t="str">
        <f>IF(ISNA(VLOOKUP(AS48,TAB_FERIES_PURS,4,FALSE)),"",VLOOKUP(AS48,TAB_FERIES_PURS,4,FALSE))</f>
        <v/>
      </c>
      <c r="AU48" s="338" t="str">
        <f>IF(MOD(MATCH(AS48,Calculs!$R$4:$R$93,1),2)=0,""," ")</f>
        <v xml:space="preserve"> </v>
      </c>
      <c r="AV48" s="338" t="str">
        <f>IF(MOD(MATCH(AS48,Calculs!$S$4:$S$93,1),2)=0,""," ")</f>
        <v xml:space="preserve"> </v>
      </c>
      <c r="AW48" s="347" t="str">
        <f>IF(MOD(MATCH(AS48,Calculs!$T$4:$T$93,1),2)=0,""," ")</f>
        <v xml:space="preserve"> </v>
      </c>
      <c r="AX48" s="339"/>
      <c r="AY48" s="337" t="str">
        <f t="shared" si="7"/>
        <v>Di</v>
      </c>
      <c r="AZ48" s="338">
        <f>+AZ46+1</f>
        <v>44430</v>
      </c>
      <c r="BA48" s="344" t="str">
        <f>IF(ISNA(VLOOKUP(AZ48,TAB_FERIES_PURS,4,FALSE)),"",VLOOKUP(AZ48,TAB_FERIES_PURS,4,FALSE))</f>
        <v/>
      </c>
      <c r="BB48" s="338" t="str">
        <f>IF(MOD(MATCH(AZ48,Calculs!$R$4:$R$93,1),2)=0,""," ")</f>
        <v xml:space="preserve"> </v>
      </c>
      <c r="BC48" s="338" t="str">
        <f>IF(MOD(MATCH(AZ48,Calculs!$S$4:$S$93,1),2)=0,""," ")</f>
        <v xml:space="preserve"> </v>
      </c>
      <c r="BD48" s="347" t="str">
        <f>IF(MOD(MATCH(AZ48,Calculs!$T$4:$T$93,1),2)=0,""," ")</f>
        <v xml:space="preserve"> </v>
      </c>
      <c r="BE48" s="339"/>
      <c r="BF48" s="337" t="str">
        <f t="shared" si="8"/>
        <v>Me</v>
      </c>
      <c r="BG48" s="338">
        <f>+BG46+1</f>
        <v>44461</v>
      </c>
      <c r="BH48" s="344" t="str">
        <f>IF(ISNA(VLOOKUP(BG48,TAB_FERIES_PURS,4,FALSE)),"",VLOOKUP(BG48,TAB_FERIES_PURS,4,FALSE))</f>
        <v/>
      </c>
      <c r="BI48" s="338" t="str">
        <f>IF(MOD(MATCH(BG48,Calculs!$R$4:$R$93,1),2)=0,""," ")</f>
        <v/>
      </c>
      <c r="BJ48" s="338" t="str">
        <f>IF(MOD(MATCH(BG48,Calculs!$S$4:$S$93,1),2)=0,""," ")</f>
        <v/>
      </c>
      <c r="BK48" s="347" t="str">
        <f>IF(MOD(MATCH(BG48,Calculs!$T$4:$T$93,1),2)=0,""," ")</f>
        <v/>
      </c>
      <c r="BL48" s="339"/>
      <c r="BM48" s="337" t="str">
        <f t="shared" si="9"/>
        <v>Ve</v>
      </c>
      <c r="BN48" s="338">
        <f>+BN46+1</f>
        <v>44491</v>
      </c>
      <c r="BO48" s="344" t="str">
        <f>IF(ISNA(VLOOKUP(BN48,TAB_FERIES_PURS,4,FALSE)),"",VLOOKUP(BN48,TAB_FERIES_PURS,4,FALSE))</f>
        <v/>
      </c>
      <c r="BP48" s="338" t="str">
        <f>IF(MOD(MATCH(BN48,Calculs!$R$4:$R$93,1),2)=0,""," ")</f>
        <v xml:space="preserve"> </v>
      </c>
      <c r="BQ48" s="338" t="str">
        <f>IF(MOD(MATCH(BN48,Calculs!$S$4:$S$93,1),2)=0,""," ")</f>
        <v xml:space="preserve"> </v>
      </c>
      <c r="BR48" s="347" t="str">
        <f>IF(MOD(MATCH(BN48,Calculs!$T$4:$T$93,1),2)=0,""," ")</f>
        <v xml:space="preserve"> </v>
      </c>
      <c r="BS48" s="339"/>
      <c r="BT48" s="337" t="str">
        <f t="shared" si="10"/>
        <v>Lu</v>
      </c>
      <c r="BU48" s="338">
        <f>+BU46+1</f>
        <v>44522</v>
      </c>
      <c r="BV48" s="344" t="str">
        <f>IF(ISNA(VLOOKUP(BU48,TAB_FERIES_PURS,4,FALSE)),"",VLOOKUP(BU48,TAB_FERIES_PURS,4,FALSE))</f>
        <v/>
      </c>
      <c r="BW48" s="338" t="str">
        <f>IF(MOD(MATCH(BU48,Calculs!$R$4:$R$93,1),2)=0,""," ")</f>
        <v/>
      </c>
      <c r="BX48" s="338" t="str">
        <f>IF(MOD(MATCH(BU48,Calculs!$S$4:$S$93,1),2)=0,""," ")</f>
        <v/>
      </c>
      <c r="BY48" s="347" t="str">
        <f>IF(MOD(MATCH(BU48,Calculs!$T$4:$T$93,1),2)=0,""," ")</f>
        <v/>
      </c>
      <c r="BZ48" s="339"/>
      <c r="CA48" s="337" t="str">
        <f t="shared" si="11"/>
        <v>Me</v>
      </c>
      <c r="CB48" s="338">
        <f>+CB46+1</f>
        <v>44552</v>
      </c>
      <c r="CC48" s="344" t="str">
        <f>IF(ISNA(VLOOKUP(CB48,TAB_FERIES_PURS,4,FALSE)),"",VLOOKUP(CB48,TAB_FERIES_PURS,4,FALSE))</f>
        <v/>
      </c>
      <c r="CD48" s="338" t="str">
        <f>IF(MOD(MATCH(CB48,Calculs!$R$4:$R$93,1),2)=0,""," ")</f>
        <v xml:space="preserve"> </v>
      </c>
      <c r="CE48" s="338" t="str">
        <f>IF(MOD(MATCH(CB48,Calculs!$S$4:$S$93,1),2)=0,""," ")</f>
        <v xml:space="preserve"> </v>
      </c>
      <c r="CF48" s="347" t="str">
        <f>IF(MOD(MATCH(CB48,Calculs!$T$4:$T$93,1),2)=0,""," ")</f>
        <v xml:space="preserve"> </v>
      </c>
      <c r="CG48" s="360"/>
    </row>
    <row r="49" spans="1:85" s="345" customFormat="1" ht="4" customHeight="1" x14ac:dyDescent="0.15">
      <c r="A49" s="359"/>
      <c r="B49" s="337"/>
      <c r="C49" s="338"/>
      <c r="D49" s="340"/>
      <c r="E49" s="339"/>
      <c r="F49" s="339"/>
      <c r="G49" s="347"/>
      <c r="H49" s="339"/>
      <c r="I49" s="337"/>
      <c r="J49" s="338"/>
      <c r="K49" s="340"/>
      <c r="L49" s="339"/>
      <c r="M49" s="339"/>
      <c r="N49" s="347"/>
      <c r="O49" s="339"/>
      <c r="P49" s="337"/>
      <c r="Q49" s="338"/>
      <c r="R49" s="340"/>
      <c r="S49" s="339"/>
      <c r="T49" s="339"/>
      <c r="U49" s="347"/>
      <c r="V49" s="339"/>
      <c r="W49" s="337"/>
      <c r="X49" s="338"/>
      <c r="Y49" s="340"/>
      <c r="Z49" s="339"/>
      <c r="AA49" s="339"/>
      <c r="AB49" s="347"/>
      <c r="AC49" s="339"/>
      <c r="AD49" s="337"/>
      <c r="AE49" s="338"/>
      <c r="AF49" s="340"/>
      <c r="AG49" s="339"/>
      <c r="AH49" s="339"/>
      <c r="AI49" s="347"/>
      <c r="AJ49" s="339"/>
      <c r="AK49" s="337"/>
      <c r="AL49" s="338"/>
      <c r="AM49" s="340"/>
      <c r="AN49" s="339"/>
      <c r="AO49" s="339"/>
      <c r="AP49" s="347"/>
      <c r="AQ49" s="339"/>
      <c r="AR49" s="337"/>
      <c r="AS49" s="338"/>
      <c r="AT49" s="340"/>
      <c r="AU49" s="339"/>
      <c r="AV49" s="339"/>
      <c r="AW49" s="347"/>
      <c r="AX49" s="339"/>
      <c r="AY49" s="337"/>
      <c r="AZ49" s="338"/>
      <c r="BA49" s="340"/>
      <c r="BB49" s="339"/>
      <c r="BC49" s="339"/>
      <c r="BD49" s="347"/>
      <c r="BE49" s="339"/>
      <c r="BF49" s="337"/>
      <c r="BG49" s="338"/>
      <c r="BH49" s="340"/>
      <c r="BI49" s="339"/>
      <c r="BJ49" s="339"/>
      <c r="BK49" s="347"/>
      <c r="BL49" s="339"/>
      <c r="BM49" s="337"/>
      <c r="BN49" s="338"/>
      <c r="BO49" s="340"/>
      <c r="BP49" s="339"/>
      <c r="BQ49" s="339"/>
      <c r="BR49" s="347"/>
      <c r="BS49" s="339"/>
      <c r="BT49" s="337"/>
      <c r="BU49" s="338"/>
      <c r="BV49" s="340"/>
      <c r="BW49" s="339"/>
      <c r="BX49" s="339"/>
      <c r="BY49" s="347"/>
      <c r="BZ49" s="339"/>
      <c r="CA49" s="337"/>
      <c r="CB49" s="338"/>
      <c r="CC49" s="340"/>
      <c r="CD49" s="339"/>
      <c r="CE49" s="339"/>
      <c r="CF49" s="347"/>
      <c r="CG49" s="360"/>
    </row>
    <row r="50" spans="1:85" s="345" customFormat="1" ht="18" customHeight="1" x14ac:dyDescent="0.15">
      <c r="A50" s="359"/>
      <c r="B50" s="337" t="str">
        <f t="shared" si="0"/>
        <v>Sa</v>
      </c>
      <c r="C50" s="338">
        <f>+C48+1</f>
        <v>44219</v>
      </c>
      <c r="D50" s="344" t="str">
        <f>IF(ISNA(VLOOKUP(C50,TAB_FERIES_PURS,4,FALSE)),"",VLOOKUP(C50,TAB_FERIES_PURS,4,FALSE))</f>
        <v/>
      </c>
      <c r="E50" s="338" t="str">
        <f>IF(MOD(MATCH(C50,Calculs!$R$4:$R$93,1),2)=0,""," ")</f>
        <v/>
      </c>
      <c r="F50" s="338" t="str">
        <f>IF(MOD(MATCH(C50,Calculs!$S$4:$S$93,1),2)=0,""," ")</f>
        <v/>
      </c>
      <c r="G50" s="347" t="str">
        <f>IF(MOD(MATCH(C50,Calculs!$T$4:$T$93,1),2)=0,""," ")</f>
        <v/>
      </c>
      <c r="H50" s="339"/>
      <c r="I50" s="337" t="str">
        <f t="shared" si="1"/>
        <v>Ma</v>
      </c>
      <c r="J50" s="338">
        <f>+J48+1</f>
        <v>44250</v>
      </c>
      <c r="K50" s="344" t="str">
        <f>IF(ISNA(VLOOKUP(J50,TAB_FERIES_PURS,4,FALSE)),"",VLOOKUP(J50,TAB_FERIES_PURS,4,FALSE))</f>
        <v/>
      </c>
      <c r="L50" s="338" t="str">
        <f>IF(MOD(MATCH(J50,Calculs!$R$4:$R$93,1),2)=0,""," ")</f>
        <v/>
      </c>
      <c r="M50" s="338" t="str">
        <f>IF(MOD(MATCH(J50,Calculs!$S$4:$S$93,1),2)=0,""," ")</f>
        <v xml:space="preserve"> </v>
      </c>
      <c r="N50" s="347" t="str">
        <f>IF(MOD(MATCH(J50,Calculs!$T$4:$T$93,1),2)=0,""," ")</f>
        <v xml:space="preserve"> </v>
      </c>
      <c r="O50" s="339"/>
      <c r="P50" s="337" t="str">
        <f t="shared" si="2"/>
        <v>Ma</v>
      </c>
      <c r="Q50" s="338">
        <f>+Q48+1</f>
        <v>44278</v>
      </c>
      <c r="R50" s="344" t="str">
        <f>IF(ISNA(VLOOKUP(Q50,TAB_FERIES_PURS,4,FALSE)),"",VLOOKUP(Q50,TAB_FERIES_PURS,4,FALSE))</f>
        <v/>
      </c>
      <c r="S50" s="338" t="str">
        <f>IF(MOD(MATCH(Q50,Calculs!$R$4:$R$93,1),2)=0,""," ")</f>
        <v/>
      </c>
      <c r="T50" s="338" t="str">
        <f>IF(MOD(MATCH(Q50,Calculs!$S$4:$S$93,1),2)=0,""," ")</f>
        <v/>
      </c>
      <c r="U50" s="347" t="str">
        <f>IF(MOD(MATCH(Q50,Calculs!$T$4:$T$93,1),2)=0,""," ")</f>
        <v/>
      </c>
      <c r="V50" s="339"/>
      <c r="W50" s="337" t="str">
        <f t="shared" si="3"/>
        <v>Ve</v>
      </c>
      <c r="X50" s="338">
        <f>+X48+1</f>
        <v>44309</v>
      </c>
      <c r="Y50" s="344" t="str">
        <f>IF(ISNA(VLOOKUP(X50,TAB_FERIES_PURS,4,FALSE)),"",VLOOKUP(X50,TAB_FERIES_PURS,4,FALSE))</f>
        <v/>
      </c>
      <c r="Z50" s="338" t="str">
        <f>IF(MOD(MATCH(X50,Calculs!$R$4:$R$93,1),2)=0,""," ")</f>
        <v xml:space="preserve"> </v>
      </c>
      <c r="AA50" s="338" t="str">
        <f>IF(MOD(MATCH(X50,Calculs!$S$4:$S$93,1),2)=0,""," ")</f>
        <v/>
      </c>
      <c r="AB50" s="347" t="str">
        <f>IF(MOD(MATCH(X50,Calculs!$T$4:$T$93,1),2)=0,""," ")</f>
        <v xml:space="preserve"> </v>
      </c>
      <c r="AC50" s="339"/>
      <c r="AD50" s="337" t="str">
        <f t="shared" si="4"/>
        <v>Di</v>
      </c>
      <c r="AE50" s="338">
        <f>+AE48+1</f>
        <v>44339</v>
      </c>
      <c r="AF50" s="344" t="str">
        <f>IF(ISNA(VLOOKUP(AE50,TAB_FERIES_PURS,4,FALSE)),"",VLOOKUP(AE50,TAB_FERIES_PURS,4,FALSE))</f>
        <v>F</v>
      </c>
      <c r="AG50" s="338" t="str">
        <f>IF(MOD(MATCH(AE50,Calculs!$R$4:$R$93,1),2)=0,""," ")</f>
        <v/>
      </c>
      <c r="AH50" s="338" t="str">
        <f>IF(MOD(MATCH(AE50,Calculs!$S$4:$S$93,1),2)=0,""," ")</f>
        <v/>
      </c>
      <c r="AI50" s="347" t="str">
        <f>IF(MOD(MATCH(AE50,Calculs!$T$4:$T$93,1),2)=0,""," ")</f>
        <v/>
      </c>
      <c r="AJ50" s="339"/>
      <c r="AK50" s="337" t="str">
        <f t="shared" si="5"/>
        <v>Me</v>
      </c>
      <c r="AL50" s="338">
        <f>+AL48+1</f>
        <v>44370</v>
      </c>
      <c r="AM50" s="344" t="str">
        <f>IF(ISNA(VLOOKUP(AL50,TAB_FERIES_PURS,4,FALSE)),"",VLOOKUP(AL50,TAB_FERIES_PURS,4,FALSE))</f>
        <v/>
      </c>
      <c r="AN50" s="338" t="str">
        <f>IF(MOD(MATCH(AL50,Calculs!$R$4:$R$93,1),2)=0,""," ")</f>
        <v/>
      </c>
      <c r="AO50" s="338" t="str">
        <f>IF(MOD(MATCH(AL50,Calculs!$S$4:$S$93,1),2)=0,""," ")</f>
        <v/>
      </c>
      <c r="AP50" s="347" t="str">
        <f>IF(MOD(MATCH(AL50,Calculs!$T$4:$T$93,1),2)=0,""," ")</f>
        <v/>
      </c>
      <c r="AQ50" s="339"/>
      <c r="AR50" s="337" t="str">
        <f t="shared" si="6"/>
        <v>Ve</v>
      </c>
      <c r="AS50" s="338">
        <f>+AS48+1</f>
        <v>44400</v>
      </c>
      <c r="AT50" s="344" t="str">
        <f>IF(ISNA(VLOOKUP(AS50,TAB_FERIES_PURS,4,FALSE)),"",VLOOKUP(AS50,TAB_FERIES_PURS,4,FALSE))</f>
        <v/>
      </c>
      <c r="AU50" s="338" t="str">
        <f>IF(MOD(MATCH(AS50,Calculs!$R$4:$R$93,1),2)=0,""," ")</f>
        <v xml:space="preserve"> </v>
      </c>
      <c r="AV50" s="338" t="str">
        <f>IF(MOD(MATCH(AS50,Calculs!$S$4:$S$93,1),2)=0,""," ")</f>
        <v xml:space="preserve"> </v>
      </c>
      <c r="AW50" s="347" t="str">
        <f>IF(MOD(MATCH(AS50,Calculs!$T$4:$T$93,1),2)=0,""," ")</f>
        <v xml:space="preserve"> </v>
      </c>
      <c r="AX50" s="339"/>
      <c r="AY50" s="337" t="str">
        <f t="shared" si="7"/>
        <v>Lu</v>
      </c>
      <c r="AZ50" s="338">
        <f>+AZ48+1</f>
        <v>44431</v>
      </c>
      <c r="BA50" s="344" t="str">
        <f>IF(ISNA(VLOOKUP(AZ50,TAB_FERIES_PURS,4,FALSE)),"",VLOOKUP(AZ50,TAB_FERIES_PURS,4,FALSE))</f>
        <v/>
      </c>
      <c r="BB50" s="338" t="str">
        <f>IF(MOD(MATCH(AZ50,Calculs!$R$4:$R$93,1),2)=0,""," ")</f>
        <v xml:space="preserve"> </v>
      </c>
      <c r="BC50" s="338" t="str">
        <f>IF(MOD(MATCH(AZ50,Calculs!$S$4:$S$93,1),2)=0,""," ")</f>
        <v xml:space="preserve"> </v>
      </c>
      <c r="BD50" s="347" t="str">
        <f>IF(MOD(MATCH(AZ50,Calculs!$T$4:$T$93,1),2)=0,""," ")</f>
        <v xml:space="preserve"> </v>
      </c>
      <c r="BE50" s="339"/>
      <c r="BF50" s="337" t="str">
        <f t="shared" si="8"/>
        <v>Je</v>
      </c>
      <c r="BG50" s="338">
        <f>+BG48+1</f>
        <v>44462</v>
      </c>
      <c r="BH50" s="344" t="str">
        <f>IF(ISNA(VLOOKUP(BG50,TAB_FERIES_PURS,4,FALSE)),"",VLOOKUP(BG50,TAB_FERIES_PURS,4,FALSE))</f>
        <v/>
      </c>
      <c r="BI50" s="338" t="str">
        <f>IF(MOD(MATCH(BG50,Calculs!$R$4:$R$93,1),2)=0,""," ")</f>
        <v/>
      </c>
      <c r="BJ50" s="338" t="str">
        <f>IF(MOD(MATCH(BG50,Calculs!$S$4:$S$93,1),2)=0,""," ")</f>
        <v/>
      </c>
      <c r="BK50" s="347" t="str">
        <f>IF(MOD(MATCH(BG50,Calculs!$T$4:$T$93,1),2)=0,""," ")</f>
        <v/>
      </c>
      <c r="BL50" s="339"/>
      <c r="BM50" s="337" t="str">
        <f t="shared" si="9"/>
        <v>Sa</v>
      </c>
      <c r="BN50" s="338">
        <f>+BN48+1</f>
        <v>44492</v>
      </c>
      <c r="BO50" s="344" t="str">
        <f>IF(ISNA(VLOOKUP(BN50,TAB_FERIES_PURS,4,FALSE)),"",VLOOKUP(BN50,TAB_FERIES_PURS,4,FALSE))</f>
        <v/>
      </c>
      <c r="BP50" s="338" t="str">
        <f>IF(MOD(MATCH(BN50,Calculs!$R$4:$R$93,1),2)=0,""," ")</f>
        <v xml:space="preserve"> </v>
      </c>
      <c r="BQ50" s="338" t="str">
        <f>IF(MOD(MATCH(BN50,Calculs!$S$4:$S$93,1),2)=0,""," ")</f>
        <v xml:space="preserve"> </v>
      </c>
      <c r="BR50" s="347" t="str">
        <f>IF(MOD(MATCH(BN50,Calculs!$T$4:$T$93,1),2)=0,""," ")</f>
        <v xml:space="preserve"> </v>
      </c>
      <c r="BS50" s="339"/>
      <c r="BT50" s="337" t="str">
        <f t="shared" si="10"/>
        <v>Ma</v>
      </c>
      <c r="BU50" s="338">
        <f>+BU48+1</f>
        <v>44523</v>
      </c>
      <c r="BV50" s="344" t="str">
        <f>IF(ISNA(VLOOKUP(BU50,TAB_FERIES_PURS,4,FALSE)),"",VLOOKUP(BU50,TAB_FERIES_PURS,4,FALSE))</f>
        <v/>
      </c>
      <c r="BW50" s="338" t="str">
        <f>IF(MOD(MATCH(BU50,Calculs!$R$4:$R$93,1),2)=0,""," ")</f>
        <v/>
      </c>
      <c r="BX50" s="338" t="str">
        <f>IF(MOD(MATCH(BU50,Calculs!$S$4:$S$93,1),2)=0,""," ")</f>
        <v/>
      </c>
      <c r="BY50" s="347" t="str">
        <f>IF(MOD(MATCH(BU50,Calculs!$T$4:$T$93,1),2)=0,""," ")</f>
        <v/>
      </c>
      <c r="BZ50" s="339"/>
      <c r="CA50" s="337" t="str">
        <f t="shared" si="11"/>
        <v>Je</v>
      </c>
      <c r="CB50" s="338">
        <f>+CB48+1</f>
        <v>44553</v>
      </c>
      <c r="CC50" s="344" t="str">
        <f>IF(ISNA(VLOOKUP(CB50,TAB_FERIES_PURS,4,FALSE)),"",VLOOKUP(CB50,TAB_FERIES_PURS,4,FALSE))</f>
        <v/>
      </c>
      <c r="CD50" s="338" t="str">
        <f>IF(MOD(MATCH(CB50,Calculs!$R$4:$R$93,1),2)=0,""," ")</f>
        <v xml:space="preserve"> </v>
      </c>
      <c r="CE50" s="338" t="str">
        <f>IF(MOD(MATCH(CB50,Calculs!$S$4:$S$93,1),2)=0,""," ")</f>
        <v xml:space="preserve"> </v>
      </c>
      <c r="CF50" s="347" t="str">
        <f>IF(MOD(MATCH(CB50,Calculs!$T$4:$T$93,1),2)=0,""," ")</f>
        <v xml:space="preserve"> </v>
      </c>
      <c r="CG50" s="360"/>
    </row>
    <row r="51" spans="1:85" s="345" customFormat="1" ht="4" customHeight="1" x14ac:dyDescent="0.15">
      <c r="A51" s="359"/>
      <c r="B51" s="337"/>
      <c r="C51" s="338"/>
      <c r="D51" s="340"/>
      <c r="E51" s="339"/>
      <c r="F51" s="339"/>
      <c r="G51" s="347"/>
      <c r="H51" s="339"/>
      <c r="I51" s="337"/>
      <c r="J51" s="338"/>
      <c r="K51" s="340"/>
      <c r="L51" s="339"/>
      <c r="M51" s="339"/>
      <c r="N51" s="347"/>
      <c r="O51" s="339"/>
      <c r="P51" s="337"/>
      <c r="Q51" s="338"/>
      <c r="R51" s="340"/>
      <c r="S51" s="339"/>
      <c r="T51" s="339"/>
      <c r="U51" s="347"/>
      <c r="V51" s="339"/>
      <c r="W51" s="337"/>
      <c r="X51" s="338"/>
      <c r="Y51" s="340"/>
      <c r="Z51" s="339"/>
      <c r="AA51" s="339"/>
      <c r="AB51" s="347"/>
      <c r="AC51" s="339"/>
      <c r="AD51" s="337"/>
      <c r="AE51" s="338"/>
      <c r="AF51" s="340"/>
      <c r="AG51" s="339"/>
      <c r="AH51" s="339"/>
      <c r="AI51" s="347"/>
      <c r="AJ51" s="339"/>
      <c r="AK51" s="337"/>
      <c r="AL51" s="338"/>
      <c r="AM51" s="340"/>
      <c r="AN51" s="339"/>
      <c r="AO51" s="339"/>
      <c r="AP51" s="347"/>
      <c r="AQ51" s="339"/>
      <c r="AR51" s="337"/>
      <c r="AS51" s="338"/>
      <c r="AT51" s="340"/>
      <c r="AU51" s="339"/>
      <c r="AV51" s="339"/>
      <c r="AW51" s="347"/>
      <c r="AX51" s="339"/>
      <c r="AY51" s="337"/>
      <c r="AZ51" s="338"/>
      <c r="BA51" s="340"/>
      <c r="BB51" s="339"/>
      <c r="BC51" s="339"/>
      <c r="BD51" s="347"/>
      <c r="BE51" s="339"/>
      <c r="BF51" s="337"/>
      <c r="BG51" s="338"/>
      <c r="BH51" s="340"/>
      <c r="BI51" s="339"/>
      <c r="BJ51" s="339"/>
      <c r="BK51" s="347"/>
      <c r="BL51" s="339"/>
      <c r="BM51" s="337"/>
      <c r="BN51" s="338"/>
      <c r="BO51" s="340"/>
      <c r="BP51" s="339"/>
      <c r="BQ51" s="339"/>
      <c r="BR51" s="347"/>
      <c r="BS51" s="339"/>
      <c r="BT51" s="337"/>
      <c r="BU51" s="338"/>
      <c r="BV51" s="340"/>
      <c r="BW51" s="339"/>
      <c r="BX51" s="339"/>
      <c r="BY51" s="347"/>
      <c r="BZ51" s="339"/>
      <c r="CA51" s="337"/>
      <c r="CB51" s="338"/>
      <c r="CC51" s="340"/>
      <c r="CD51" s="339"/>
      <c r="CE51" s="339"/>
      <c r="CF51" s="347"/>
      <c r="CG51" s="360"/>
    </row>
    <row r="52" spans="1:85" s="345" customFormat="1" ht="18" customHeight="1" x14ac:dyDescent="0.15">
      <c r="A52" s="359"/>
      <c r="B52" s="337" t="str">
        <f t="shared" si="0"/>
        <v>Di</v>
      </c>
      <c r="C52" s="338">
        <f>+C50+1</f>
        <v>44220</v>
      </c>
      <c r="D52" s="344" t="str">
        <f>IF(ISNA(VLOOKUP(C52,TAB_FERIES_PURS,4,FALSE)),"",VLOOKUP(C52,TAB_FERIES_PURS,4,FALSE))</f>
        <v/>
      </c>
      <c r="E52" s="338" t="str">
        <f>IF(MOD(MATCH(C52,Calculs!$R$4:$R$93,1),2)=0,""," ")</f>
        <v/>
      </c>
      <c r="F52" s="338" t="str">
        <f>IF(MOD(MATCH(C52,Calculs!$S$4:$S$93,1),2)=0,""," ")</f>
        <v/>
      </c>
      <c r="G52" s="347" t="str">
        <f>IF(MOD(MATCH(C52,Calculs!$T$4:$T$93,1),2)=0,""," ")</f>
        <v/>
      </c>
      <c r="H52" s="339"/>
      <c r="I52" s="337" t="str">
        <f t="shared" si="1"/>
        <v>Me</v>
      </c>
      <c r="J52" s="338">
        <f>+J50+1</f>
        <v>44251</v>
      </c>
      <c r="K52" s="344" t="str">
        <f>IF(ISNA(VLOOKUP(J52,TAB_FERIES_PURS,4,FALSE)),"",VLOOKUP(J52,TAB_FERIES_PURS,4,FALSE))</f>
        <v/>
      </c>
      <c r="L52" s="338" t="str">
        <f>IF(MOD(MATCH(J52,Calculs!$R$4:$R$93,1),2)=0,""," ")</f>
        <v/>
      </c>
      <c r="M52" s="338" t="str">
        <f>IF(MOD(MATCH(J52,Calculs!$S$4:$S$93,1),2)=0,""," ")</f>
        <v xml:space="preserve"> </v>
      </c>
      <c r="N52" s="347" t="str">
        <f>IF(MOD(MATCH(J52,Calculs!$T$4:$T$93,1),2)=0,""," ")</f>
        <v xml:space="preserve"> </v>
      </c>
      <c r="O52" s="339"/>
      <c r="P52" s="337" t="str">
        <f t="shared" si="2"/>
        <v>Me</v>
      </c>
      <c r="Q52" s="338">
        <f>+Q50+1</f>
        <v>44279</v>
      </c>
      <c r="R52" s="344" t="str">
        <f>IF(ISNA(VLOOKUP(Q52,TAB_FERIES_PURS,4,FALSE)),"",VLOOKUP(Q52,TAB_FERIES_PURS,4,FALSE))</f>
        <v/>
      </c>
      <c r="S52" s="338" t="str">
        <f>IF(MOD(MATCH(Q52,Calculs!$R$4:$R$93,1),2)=0,""," ")</f>
        <v/>
      </c>
      <c r="T52" s="338" t="str">
        <f>IF(MOD(MATCH(Q52,Calculs!$S$4:$S$93,1),2)=0,""," ")</f>
        <v/>
      </c>
      <c r="U52" s="347" t="str">
        <f>IF(MOD(MATCH(Q52,Calculs!$T$4:$T$93,1),2)=0,""," ")</f>
        <v/>
      </c>
      <c r="V52" s="339"/>
      <c r="W52" s="337" t="str">
        <f t="shared" si="3"/>
        <v>Sa</v>
      </c>
      <c r="X52" s="338">
        <f>+X50+1</f>
        <v>44310</v>
      </c>
      <c r="Y52" s="344" t="str">
        <f>IF(ISNA(VLOOKUP(X52,TAB_FERIES_PURS,4,FALSE)),"",VLOOKUP(X52,TAB_FERIES_PURS,4,FALSE))</f>
        <v/>
      </c>
      <c r="Z52" s="338" t="str">
        <f>IF(MOD(MATCH(X52,Calculs!$R$4:$R$93,1),2)=0,""," ")</f>
        <v xml:space="preserve"> </v>
      </c>
      <c r="AA52" s="338" t="str">
        <f>IF(MOD(MATCH(X52,Calculs!$S$4:$S$93,1),2)=0,""," ")</f>
        <v xml:space="preserve"> </v>
      </c>
      <c r="AB52" s="347" t="str">
        <f>IF(MOD(MATCH(X52,Calculs!$T$4:$T$93,1),2)=0,""," ")</f>
        <v xml:space="preserve"> </v>
      </c>
      <c r="AC52" s="339"/>
      <c r="AD52" s="337" t="str">
        <f t="shared" si="4"/>
        <v>Lu</v>
      </c>
      <c r="AE52" s="338">
        <f>+AE50+1</f>
        <v>44340</v>
      </c>
      <c r="AF52" s="344" t="str">
        <f>IF(ISNA(VLOOKUP(AE52,TAB_FERIES_PURS,4,FALSE)),"",VLOOKUP(AE52,TAB_FERIES_PURS,4,FALSE))</f>
        <v>F</v>
      </c>
      <c r="AG52" s="338" t="str">
        <f>IF(MOD(MATCH(AE52,Calculs!$R$4:$R$93,1),2)=0,""," ")</f>
        <v/>
      </c>
      <c r="AH52" s="338" t="str">
        <f>IF(MOD(MATCH(AE52,Calculs!$S$4:$S$93,1),2)=0,""," ")</f>
        <v/>
      </c>
      <c r="AI52" s="347" t="str">
        <f>IF(MOD(MATCH(AE52,Calculs!$T$4:$T$93,1),2)=0,""," ")</f>
        <v/>
      </c>
      <c r="AJ52" s="339"/>
      <c r="AK52" s="337" t="str">
        <f t="shared" si="5"/>
        <v>Je</v>
      </c>
      <c r="AL52" s="338">
        <f>+AL50+1</f>
        <v>44371</v>
      </c>
      <c r="AM52" s="344" t="str">
        <f>IF(ISNA(VLOOKUP(AL52,TAB_FERIES_PURS,4,FALSE)),"",VLOOKUP(AL52,TAB_FERIES_PURS,4,FALSE))</f>
        <v/>
      </c>
      <c r="AN52" s="338" t="str">
        <f>IF(MOD(MATCH(AL52,Calculs!$R$4:$R$93,1),2)=0,""," ")</f>
        <v/>
      </c>
      <c r="AO52" s="338" t="str">
        <f>IF(MOD(MATCH(AL52,Calculs!$S$4:$S$93,1),2)=0,""," ")</f>
        <v/>
      </c>
      <c r="AP52" s="347" t="str">
        <f>IF(MOD(MATCH(AL52,Calculs!$T$4:$T$93,1),2)=0,""," ")</f>
        <v/>
      </c>
      <c r="AQ52" s="339"/>
      <c r="AR52" s="337" t="str">
        <f t="shared" si="6"/>
        <v>Sa</v>
      </c>
      <c r="AS52" s="338">
        <f>+AS50+1</f>
        <v>44401</v>
      </c>
      <c r="AT52" s="344" t="str">
        <f>IF(ISNA(VLOOKUP(AS52,TAB_FERIES_PURS,4,FALSE)),"",VLOOKUP(AS52,TAB_FERIES_PURS,4,FALSE))</f>
        <v/>
      </c>
      <c r="AU52" s="338" t="str">
        <f>IF(MOD(MATCH(AS52,Calculs!$R$4:$R$93,1),2)=0,""," ")</f>
        <v xml:space="preserve"> </v>
      </c>
      <c r="AV52" s="338" t="str">
        <f>IF(MOD(MATCH(AS52,Calculs!$S$4:$S$93,1),2)=0,""," ")</f>
        <v xml:space="preserve"> </v>
      </c>
      <c r="AW52" s="347" t="str">
        <f>IF(MOD(MATCH(AS52,Calculs!$T$4:$T$93,1),2)=0,""," ")</f>
        <v xml:space="preserve"> </v>
      </c>
      <c r="AX52" s="339"/>
      <c r="AY52" s="337" t="str">
        <f t="shared" si="7"/>
        <v>Ma</v>
      </c>
      <c r="AZ52" s="338">
        <f>+AZ50+1</f>
        <v>44432</v>
      </c>
      <c r="BA52" s="344" t="str">
        <f>IF(ISNA(VLOOKUP(AZ52,TAB_FERIES_PURS,4,FALSE)),"",VLOOKUP(AZ52,TAB_FERIES_PURS,4,FALSE))</f>
        <v/>
      </c>
      <c r="BB52" s="338" t="str">
        <f>IF(MOD(MATCH(AZ52,Calculs!$R$4:$R$93,1),2)=0,""," ")</f>
        <v xml:space="preserve"> </v>
      </c>
      <c r="BC52" s="338" t="str">
        <f>IF(MOD(MATCH(AZ52,Calculs!$S$4:$S$93,1),2)=0,""," ")</f>
        <v xml:space="preserve"> </v>
      </c>
      <c r="BD52" s="347" t="str">
        <f>IF(MOD(MATCH(AZ52,Calculs!$T$4:$T$93,1),2)=0,""," ")</f>
        <v xml:space="preserve"> </v>
      </c>
      <c r="BE52" s="339"/>
      <c r="BF52" s="337" t="str">
        <f t="shared" si="8"/>
        <v>Ve</v>
      </c>
      <c r="BG52" s="338">
        <f>+BG50+1</f>
        <v>44463</v>
      </c>
      <c r="BH52" s="344" t="str">
        <f>IF(ISNA(VLOOKUP(BG52,TAB_FERIES_PURS,4,FALSE)),"",VLOOKUP(BG52,TAB_FERIES_PURS,4,FALSE))</f>
        <v/>
      </c>
      <c r="BI52" s="338" t="str">
        <f>IF(MOD(MATCH(BG52,Calculs!$R$4:$R$93,1),2)=0,""," ")</f>
        <v/>
      </c>
      <c r="BJ52" s="338" t="str">
        <f>IF(MOD(MATCH(BG52,Calculs!$S$4:$S$93,1),2)=0,""," ")</f>
        <v/>
      </c>
      <c r="BK52" s="347" t="str">
        <f>IF(MOD(MATCH(BG52,Calculs!$T$4:$T$93,1),2)=0,""," ")</f>
        <v/>
      </c>
      <c r="BL52" s="339"/>
      <c r="BM52" s="337" t="str">
        <f t="shared" si="9"/>
        <v>Di</v>
      </c>
      <c r="BN52" s="338">
        <f>+BN50+1</f>
        <v>44493</v>
      </c>
      <c r="BO52" s="344" t="str">
        <f>IF(ISNA(VLOOKUP(BN52,TAB_FERIES_PURS,4,FALSE)),"",VLOOKUP(BN52,TAB_FERIES_PURS,4,FALSE))</f>
        <v/>
      </c>
      <c r="BP52" s="338" t="str">
        <f>IF(MOD(MATCH(BN52,Calculs!$R$4:$R$93,1),2)=0,""," ")</f>
        <v xml:space="preserve"> </v>
      </c>
      <c r="BQ52" s="338" t="str">
        <f>IF(MOD(MATCH(BN52,Calculs!$S$4:$S$93,1),2)=0,""," ")</f>
        <v xml:space="preserve"> </v>
      </c>
      <c r="BR52" s="347" t="str">
        <f>IF(MOD(MATCH(BN52,Calculs!$T$4:$T$93,1),2)=0,""," ")</f>
        <v xml:space="preserve"> </v>
      </c>
      <c r="BS52" s="339"/>
      <c r="BT52" s="337" t="str">
        <f t="shared" si="10"/>
        <v>Me</v>
      </c>
      <c r="BU52" s="338">
        <f>+BU50+1</f>
        <v>44524</v>
      </c>
      <c r="BV52" s="344" t="str">
        <f>IF(ISNA(VLOOKUP(BU52,TAB_FERIES_PURS,4,FALSE)),"",VLOOKUP(BU52,TAB_FERIES_PURS,4,FALSE))</f>
        <v/>
      </c>
      <c r="BW52" s="338" t="str">
        <f>IF(MOD(MATCH(BU52,Calculs!$R$4:$R$93,1),2)=0,""," ")</f>
        <v/>
      </c>
      <c r="BX52" s="338" t="str">
        <f>IF(MOD(MATCH(BU52,Calculs!$S$4:$S$93,1),2)=0,""," ")</f>
        <v/>
      </c>
      <c r="BY52" s="347" t="str">
        <f>IF(MOD(MATCH(BU52,Calculs!$T$4:$T$93,1),2)=0,""," ")</f>
        <v/>
      </c>
      <c r="BZ52" s="339"/>
      <c r="CA52" s="337" t="str">
        <f t="shared" si="11"/>
        <v>Ve</v>
      </c>
      <c r="CB52" s="338">
        <f>+CB50+1</f>
        <v>44554</v>
      </c>
      <c r="CC52" s="344" t="str">
        <f>IF(ISNA(VLOOKUP(CB52,TAB_FERIES_PURS,4,FALSE)),"",VLOOKUP(CB52,TAB_FERIES_PURS,4,FALSE))</f>
        <v/>
      </c>
      <c r="CD52" s="338" t="str">
        <f>IF(MOD(MATCH(CB52,Calculs!$R$4:$R$93,1),2)=0,""," ")</f>
        <v xml:space="preserve"> </v>
      </c>
      <c r="CE52" s="338" t="str">
        <f>IF(MOD(MATCH(CB52,Calculs!$S$4:$S$93,1),2)=0,""," ")</f>
        <v xml:space="preserve"> </v>
      </c>
      <c r="CF52" s="347" t="str">
        <f>IF(MOD(MATCH(CB52,Calculs!$T$4:$T$93,1),2)=0,""," ")</f>
        <v xml:space="preserve"> </v>
      </c>
      <c r="CG52" s="360"/>
    </row>
    <row r="53" spans="1:85" s="345" customFormat="1" ht="4" customHeight="1" x14ac:dyDescent="0.15">
      <c r="A53" s="359"/>
      <c r="B53" s="337"/>
      <c r="C53" s="338"/>
      <c r="D53" s="340"/>
      <c r="E53" s="339"/>
      <c r="F53" s="339"/>
      <c r="G53" s="347"/>
      <c r="H53" s="339"/>
      <c r="I53" s="337"/>
      <c r="J53" s="338"/>
      <c r="K53" s="340"/>
      <c r="L53" s="339"/>
      <c r="M53" s="339"/>
      <c r="N53" s="347"/>
      <c r="O53" s="339"/>
      <c r="P53" s="337"/>
      <c r="Q53" s="338"/>
      <c r="R53" s="340"/>
      <c r="S53" s="339"/>
      <c r="T53" s="339"/>
      <c r="U53" s="347"/>
      <c r="V53" s="339"/>
      <c r="W53" s="337"/>
      <c r="X53" s="338"/>
      <c r="Y53" s="340"/>
      <c r="Z53" s="339"/>
      <c r="AA53" s="339"/>
      <c r="AB53" s="347"/>
      <c r="AC53" s="339"/>
      <c r="AD53" s="337"/>
      <c r="AE53" s="338"/>
      <c r="AF53" s="340"/>
      <c r="AG53" s="339"/>
      <c r="AH53" s="339"/>
      <c r="AI53" s="347"/>
      <c r="AJ53" s="339"/>
      <c r="AK53" s="337"/>
      <c r="AL53" s="338"/>
      <c r="AM53" s="340"/>
      <c r="AN53" s="339"/>
      <c r="AO53" s="339"/>
      <c r="AP53" s="347"/>
      <c r="AQ53" s="339"/>
      <c r="AR53" s="337"/>
      <c r="AS53" s="338"/>
      <c r="AT53" s="340"/>
      <c r="AU53" s="339"/>
      <c r="AV53" s="339"/>
      <c r="AW53" s="347"/>
      <c r="AX53" s="339"/>
      <c r="AY53" s="337"/>
      <c r="AZ53" s="338"/>
      <c r="BA53" s="340"/>
      <c r="BB53" s="339"/>
      <c r="BC53" s="339"/>
      <c r="BD53" s="347"/>
      <c r="BE53" s="339"/>
      <c r="BF53" s="337"/>
      <c r="BG53" s="338"/>
      <c r="BH53" s="340"/>
      <c r="BI53" s="339"/>
      <c r="BJ53" s="339"/>
      <c r="BK53" s="347"/>
      <c r="BL53" s="339"/>
      <c r="BM53" s="337"/>
      <c r="BN53" s="338"/>
      <c r="BO53" s="340"/>
      <c r="BP53" s="339"/>
      <c r="BQ53" s="339"/>
      <c r="BR53" s="347"/>
      <c r="BS53" s="339"/>
      <c r="BT53" s="337"/>
      <c r="BU53" s="338"/>
      <c r="BV53" s="340"/>
      <c r="BW53" s="339"/>
      <c r="BX53" s="339"/>
      <c r="BY53" s="347"/>
      <c r="BZ53" s="339"/>
      <c r="CA53" s="337"/>
      <c r="CB53" s="338"/>
      <c r="CC53" s="340"/>
      <c r="CD53" s="339"/>
      <c r="CE53" s="339"/>
      <c r="CF53" s="347"/>
      <c r="CG53" s="360"/>
    </row>
    <row r="54" spans="1:85" s="345" customFormat="1" ht="18" customHeight="1" x14ac:dyDescent="0.15">
      <c r="A54" s="359"/>
      <c r="B54" s="337" t="str">
        <f t="shared" si="0"/>
        <v>Lu</v>
      </c>
      <c r="C54" s="338">
        <f>+C52+1</f>
        <v>44221</v>
      </c>
      <c r="D54" s="344" t="str">
        <f>IF(ISNA(VLOOKUP(C54,TAB_FERIES_PURS,4,FALSE)),"",VLOOKUP(C54,TAB_FERIES_PURS,4,FALSE))</f>
        <v/>
      </c>
      <c r="E54" s="338" t="str">
        <f>IF(MOD(MATCH(C54,Calculs!$R$4:$R$93,1),2)=0,""," ")</f>
        <v/>
      </c>
      <c r="F54" s="338" t="str">
        <f>IF(MOD(MATCH(C54,Calculs!$S$4:$S$93,1),2)=0,""," ")</f>
        <v/>
      </c>
      <c r="G54" s="347" t="str">
        <f>IF(MOD(MATCH(C54,Calculs!$T$4:$T$93,1),2)=0,""," ")</f>
        <v/>
      </c>
      <c r="H54" s="339"/>
      <c r="I54" s="337" t="str">
        <f t="shared" si="1"/>
        <v>Je</v>
      </c>
      <c r="J54" s="338">
        <f>+J52+1</f>
        <v>44252</v>
      </c>
      <c r="K54" s="344" t="str">
        <f>IF(ISNA(VLOOKUP(J54,TAB_FERIES_PURS,4,FALSE)),"",VLOOKUP(J54,TAB_FERIES_PURS,4,FALSE))</f>
        <v/>
      </c>
      <c r="L54" s="338" t="str">
        <f>IF(MOD(MATCH(J54,Calculs!$R$4:$R$93,1),2)=0,""," ")</f>
        <v/>
      </c>
      <c r="M54" s="338" t="str">
        <f>IF(MOD(MATCH(J54,Calculs!$S$4:$S$93,1),2)=0,""," ")</f>
        <v xml:space="preserve"> </v>
      </c>
      <c r="N54" s="347" t="str">
        <f>IF(MOD(MATCH(J54,Calculs!$T$4:$T$93,1),2)=0,""," ")</f>
        <v xml:space="preserve"> </v>
      </c>
      <c r="O54" s="339"/>
      <c r="P54" s="337" t="str">
        <f t="shared" si="2"/>
        <v>Je</v>
      </c>
      <c r="Q54" s="338">
        <f>+Q52+1</f>
        <v>44280</v>
      </c>
      <c r="R54" s="344" t="str">
        <f>IF(ISNA(VLOOKUP(Q54,TAB_FERIES_PURS,4,FALSE)),"",VLOOKUP(Q54,TAB_FERIES_PURS,4,FALSE))</f>
        <v/>
      </c>
      <c r="S54" s="338" t="str">
        <f>IF(MOD(MATCH(Q54,Calculs!$R$4:$R$93,1),2)=0,""," ")</f>
        <v/>
      </c>
      <c r="T54" s="338" t="str">
        <f>IF(MOD(MATCH(Q54,Calculs!$S$4:$S$93,1),2)=0,""," ")</f>
        <v/>
      </c>
      <c r="U54" s="347" t="str">
        <f>IF(MOD(MATCH(Q54,Calculs!$T$4:$T$93,1),2)=0,""," ")</f>
        <v/>
      </c>
      <c r="V54" s="339"/>
      <c r="W54" s="337" t="str">
        <f t="shared" si="3"/>
        <v>Di</v>
      </c>
      <c r="X54" s="338">
        <f>+X52+1</f>
        <v>44311</v>
      </c>
      <c r="Y54" s="344" t="str">
        <f>IF(ISNA(VLOOKUP(X54,TAB_FERIES_PURS,4,FALSE)),"",VLOOKUP(X54,TAB_FERIES_PURS,4,FALSE))</f>
        <v/>
      </c>
      <c r="Z54" s="338" t="str">
        <f>IF(MOD(MATCH(X54,Calculs!$R$4:$R$93,1),2)=0,""," ")</f>
        <v xml:space="preserve"> </v>
      </c>
      <c r="AA54" s="338" t="str">
        <f>IF(MOD(MATCH(X54,Calculs!$S$4:$S$93,1),2)=0,""," ")</f>
        <v xml:space="preserve"> </v>
      </c>
      <c r="AB54" s="347" t="str">
        <f>IF(MOD(MATCH(X54,Calculs!$T$4:$T$93,1),2)=0,""," ")</f>
        <v xml:space="preserve"> </v>
      </c>
      <c r="AC54" s="339"/>
      <c r="AD54" s="337" t="str">
        <f t="shared" si="4"/>
        <v>Ma</v>
      </c>
      <c r="AE54" s="338">
        <f>+AE52+1</f>
        <v>44341</v>
      </c>
      <c r="AF54" s="344" t="str">
        <f>IF(ISNA(VLOOKUP(AE54,TAB_FERIES_PURS,4,FALSE)),"",VLOOKUP(AE54,TAB_FERIES_PURS,4,FALSE))</f>
        <v/>
      </c>
      <c r="AG54" s="338" t="str">
        <f>IF(MOD(MATCH(AE54,Calculs!$R$4:$R$93,1),2)=0,""," ")</f>
        <v/>
      </c>
      <c r="AH54" s="338" t="str">
        <f>IF(MOD(MATCH(AE54,Calculs!$S$4:$S$93,1),2)=0,""," ")</f>
        <v/>
      </c>
      <c r="AI54" s="347" t="str">
        <f>IF(MOD(MATCH(AE54,Calculs!$T$4:$T$93,1),2)=0,""," ")</f>
        <v/>
      </c>
      <c r="AJ54" s="339"/>
      <c r="AK54" s="337" t="str">
        <f t="shared" si="5"/>
        <v>Ve</v>
      </c>
      <c r="AL54" s="338">
        <f>+AL52+1</f>
        <v>44372</v>
      </c>
      <c r="AM54" s="344" t="str">
        <f>IF(ISNA(VLOOKUP(AL54,TAB_FERIES_PURS,4,FALSE)),"",VLOOKUP(AL54,TAB_FERIES_PURS,4,FALSE))</f>
        <v/>
      </c>
      <c r="AN54" s="338" t="str">
        <f>IF(MOD(MATCH(AL54,Calculs!$R$4:$R$93,1),2)=0,""," ")</f>
        <v/>
      </c>
      <c r="AO54" s="338" t="str">
        <f>IF(MOD(MATCH(AL54,Calculs!$S$4:$S$93,1),2)=0,""," ")</f>
        <v/>
      </c>
      <c r="AP54" s="347" t="str">
        <f>IF(MOD(MATCH(AL54,Calculs!$T$4:$T$93,1),2)=0,""," ")</f>
        <v/>
      </c>
      <c r="AQ54" s="339"/>
      <c r="AR54" s="337" t="str">
        <f t="shared" si="6"/>
        <v>Di</v>
      </c>
      <c r="AS54" s="338">
        <f>+AS52+1</f>
        <v>44402</v>
      </c>
      <c r="AT54" s="344" t="str">
        <f>IF(ISNA(VLOOKUP(AS54,TAB_FERIES_PURS,4,FALSE)),"",VLOOKUP(AS54,TAB_FERIES_PURS,4,FALSE))</f>
        <v/>
      </c>
      <c r="AU54" s="338" t="str">
        <f>IF(MOD(MATCH(AS54,Calculs!$R$4:$R$93,1),2)=0,""," ")</f>
        <v xml:space="preserve"> </v>
      </c>
      <c r="AV54" s="338" t="str">
        <f>IF(MOD(MATCH(AS54,Calculs!$S$4:$S$93,1),2)=0,""," ")</f>
        <v xml:space="preserve"> </v>
      </c>
      <c r="AW54" s="347" t="str">
        <f>IF(MOD(MATCH(AS54,Calculs!$T$4:$T$93,1),2)=0,""," ")</f>
        <v xml:space="preserve"> </v>
      </c>
      <c r="AX54" s="339"/>
      <c r="AY54" s="337" t="str">
        <f t="shared" si="7"/>
        <v>Me</v>
      </c>
      <c r="AZ54" s="338">
        <f>+AZ52+1</f>
        <v>44433</v>
      </c>
      <c r="BA54" s="344" t="str">
        <f>IF(ISNA(VLOOKUP(AZ54,TAB_FERIES_PURS,4,FALSE)),"",VLOOKUP(AZ54,TAB_FERIES_PURS,4,FALSE))</f>
        <v/>
      </c>
      <c r="BB54" s="338" t="str">
        <f>IF(MOD(MATCH(AZ54,Calculs!$R$4:$R$93,1),2)=0,""," ")</f>
        <v xml:space="preserve"> </v>
      </c>
      <c r="BC54" s="338" t="str">
        <f>IF(MOD(MATCH(AZ54,Calculs!$S$4:$S$93,1),2)=0,""," ")</f>
        <v xml:space="preserve"> </v>
      </c>
      <c r="BD54" s="347" t="str">
        <f>IF(MOD(MATCH(AZ54,Calculs!$T$4:$T$93,1),2)=0,""," ")</f>
        <v xml:space="preserve"> </v>
      </c>
      <c r="BE54" s="339"/>
      <c r="BF54" s="337" t="str">
        <f t="shared" si="8"/>
        <v>Sa</v>
      </c>
      <c r="BG54" s="338">
        <f>+BG52+1</f>
        <v>44464</v>
      </c>
      <c r="BH54" s="344" t="str">
        <f>IF(ISNA(VLOOKUP(BG54,TAB_FERIES_PURS,4,FALSE)),"",VLOOKUP(BG54,TAB_FERIES_PURS,4,FALSE))</f>
        <v/>
      </c>
      <c r="BI54" s="338" t="str">
        <f>IF(MOD(MATCH(BG54,Calculs!$R$4:$R$93,1),2)=0,""," ")</f>
        <v/>
      </c>
      <c r="BJ54" s="338" t="str">
        <f>IF(MOD(MATCH(BG54,Calculs!$S$4:$S$93,1),2)=0,""," ")</f>
        <v/>
      </c>
      <c r="BK54" s="347" t="str">
        <f>IF(MOD(MATCH(BG54,Calculs!$T$4:$T$93,1),2)=0,""," ")</f>
        <v/>
      </c>
      <c r="BL54" s="339"/>
      <c r="BM54" s="337" t="str">
        <f t="shared" si="9"/>
        <v>Lu</v>
      </c>
      <c r="BN54" s="338">
        <f>+BN52+1</f>
        <v>44494</v>
      </c>
      <c r="BO54" s="344" t="str">
        <f>IF(ISNA(VLOOKUP(BN54,TAB_FERIES_PURS,4,FALSE)),"",VLOOKUP(BN54,TAB_FERIES_PURS,4,FALSE))</f>
        <v/>
      </c>
      <c r="BP54" s="338" t="str">
        <f>IF(MOD(MATCH(BN54,Calculs!$R$4:$R$93,1),2)=0,""," ")</f>
        <v xml:space="preserve"> </v>
      </c>
      <c r="BQ54" s="338" t="str">
        <f>IF(MOD(MATCH(BN54,Calculs!$S$4:$S$93,1),2)=0,""," ")</f>
        <v xml:space="preserve"> </v>
      </c>
      <c r="BR54" s="347" t="str">
        <f>IF(MOD(MATCH(BN54,Calculs!$T$4:$T$93,1),2)=0,""," ")</f>
        <v xml:space="preserve"> </v>
      </c>
      <c r="BS54" s="339"/>
      <c r="BT54" s="337" t="str">
        <f t="shared" si="10"/>
        <v>Je</v>
      </c>
      <c r="BU54" s="338">
        <f>+BU52+1</f>
        <v>44525</v>
      </c>
      <c r="BV54" s="344" t="str">
        <f>IF(ISNA(VLOOKUP(BU54,TAB_FERIES_PURS,4,FALSE)),"",VLOOKUP(BU54,TAB_FERIES_PURS,4,FALSE))</f>
        <v/>
      </c>
      <c r="BW54" s="338" t="str">
        <f>IF(MOD(MATCH(BU54,Calculs!$R$4:$R$93,1),2)=0,""," ")</f>
        <v/>
      </c>
      <c r="BX54" s="338" t="str">
        <f>IF(MOD(MATCH(BU54,Calculs!$S$4:$S$93,1),2)=0,""," ")</f>
        <v/>
      </c>
      <c r="BY54" s="347" t="str">
        <f>IF(MOD(MATCH(BU54,Calculs!$T$4:$T$93,1),2)=0,""," ")</f>
        <v/>
      </c>
      <c r="BZ54" s="339"/>
      <c r="CA54" s="337" t="str">
        <f t="shared" si="11"/>
        <v>Sa</v>
      </c>
      <c r="CB54" s="338">
        <f>+CB52+1</f>
        <v>44555</v>
      </c>
      <c r="CC54" s="344" t="str">
        <f>IF(ISNA(VLOOKUP(CB54,TAB_FERIES_PURS,4,FALSE)),"",VLOOKUP(CB54,TAB_FERIES_PURS,4,FALSE))</f>
        <v>F</v>
      </c>
      <c r="CD54" s="338" t="str">
        <f>IF(MOD(MATCH(CB54,Calculs!$R$4:$R$93,1),2)=0,""," ")</f>
        <v xml:space="preserve"> </v>
      </c>
      <c r="CE54" s="338" t="str">
        <f>IF(MOD(MATCH(CB54,Calculs!$S$4:$S$93,1),2)=0,""," ")</f>
        <v xml:space="preserve"> </v>
      </c>
      <c r="CF54" s="347" t="str">
        <f>IF(MOD(MATCH(CB54,Calculs!$T$4:$T$93,1),2)=0,""," ")</f>
        <v xml:space="preserve"> </v>
      </c>
      <c r="CG54" s="360"/>
    </row>
    <row r="55" spans="1:85" s="345" customFormat="1" ht="4" customHeight="1" x14ac:dyDescent="0.15">
      <c r="A55" s="359"/>
      <c r="B55" s="337"/>
      <c r="C55" s="338"/>
      <c r="D55" s="340"/>
      <c r="E55" s="339"/>
      <c r="F55" s="339"/>
      <c r="G55" s="347"/>
      <c r="H55" s="339"/>
      <c r="I55" s="337"/>
      <c r="J55" s="338"/>
      <c r="K55" s="340"/>
      <c r="L55" s="339"/>
      <c r="M55" s="339"/>
      <c r="N55" s="347"/>
      <c r="O55" s="339"/>
      <c r="P55" s="337"/>
      <c r="Q55" s="338"/>
      <c r="R55" s="340"/>
      <c r="S55" s="339"/>
      <c r="T55" s="339"/>
      <c r="U55" s="347"/>
      <c r="V55" s="339"/>
      <c r="W55" s="337"/>
      <c r="X55" s="338"/>
      <c r="Y55" s="340"/>
      <c r="Z55" s="339"/>
      <c r="AA55" s="339"/>
      <c r="AB55" s="347"/>
      <c r="AC55" s="339"/>
      <c r="AD55" s="337"/>
      <c r="AE55" s="338"/>
      <c r="AF55" s="340"/>
      <c r="AG55" s="339"/>
      <c r="AH55" s="339"/>
      <c r="AI55" s="347"/>
      <c r="AJ55" s="339"/>
      <c r="AK55" s="337"/>
      <c r="AL55" s="338"/>
      <c r="AM55" s="340"/>
      <c r="AN55" s="339"/>
      <c r="AO55" s="339"/>
      <c r="AP55" s="347"/>
      <c r="AQ55" s="339"/>
      <c r="AR55" s="337"/>
      <c r="AS55" s="338"/>
      <c r="AT55" s="340"/>
      <c r="AU55" s="339"/>
      <c r="AV55" s="339"/>
      <c r="AW55" s="347"/>
      <c r="AX55" s="339"/>
      <c r="AY55" s="337"/>
      <c r="AZ55" s="338"/>
      <c r="BA55" s="340"/>
      <c r="BB55" s="339"/>
      <c r="BC55" s="339"/>
      <c r="BD55" s="347"/>
      <c r="BE55" s="339"/>
      <c r="BF55" s="337"/>
      <c r="BG55" s="338"/>
      <c r="BH55" s="340"/>
      <c r="BI55" s="339"/>
      <c r="BJ55" s="339"/>
      <c r="BK55" s="347"/>
      <c r="BL55" s="339"/>
      <c r="BM55" s="337"/>
      <c r="BN55" s="338"/>
      <c r="BO55" s="340"/>
      <c r="BP55" s="339"/>
      <c r="BQ55" s="339"/>
      <c r="BR55" s="347"/>
      <c r="BS55" s="339"/>
      <c r="BT55" s="337"/>
      <c r="BU55" s="338"/>
      <c r="BV55" s="340"/>
      <c r="BW55" s="339"/>
      <c r="BX55" s="339"/>
      <c r="BY55" s="347"/>
      <c r="BZ55" s="339"/>
      <c r="CA55" s="337"/>
      <c r="CB55" s="338"/>
      <c r="CC55" s="340"/>
      <c r="CD55" s="339"/>
      <c r="CE55" s="339"/>
      <c r="CF55" s="347"/>
      <c r="CG55" s="360"/>
    </row>
    <row r="56" spans="1:85" s="345" customFormat="1" ht="18" customHeight="1" x14ac:dyDescent="0.15">
      <c r="A56" s="359"/>
      <c r="B56" s="337" t="str">
        <f t="shared" si="0"/>
        <v>Ma</v>
      </c>
      <c r="C56" s="338">
        <f>+C54+1</f>
        <v>44222</v>
      </c>
      <c r="D56" s="344" t="str">
        <f>IF(ISNA(VLOOKUP(C56,TAB_FERIES_PURS,4,FALSE)),"",VLOOKUP(C56,TAB_FERIES_PURS,4,FALSE))</f>
        <v/>
      </c>
      <c r="E56" s="338" t="str">
        <f>IF(MOD(MATCH(C56,Calculs!$R$4:$R$93,1),2)=0,""," ")</f>
        <v/>
      </c>
      <c r="F56" s="338" t="str">
        <f>IF(MOD(MATCH(C56,Calculs!$S$4:$S$93,1),2)=0,""," ")</f>
        <v/>
      </c>
      <c r="G56" s="347" t="str">
        <f>IF(MOD(MATCH(C56,Calculs!$T$4:$T$93,1),2)=0,""," ")</f>
        <v/>
      </c>
      <c r="H56" s="339"/>
      <c r="I56" s="337" t="str">
        <f t="shared" si="1"/>
        <v>Ve</v>
      </c>
      <c r="J56" s="338">
        <f>+J54+1</f>
        <v>44253</v>
      </c>
      <c r="K56" s="344" t="str">
        <f>IF(ISNA(VLOOKUP(J56,TAB_FERIES_PURS,4,FALSE)),"",VLOOKUP(J56,TAB_FERIES_PURS,4,FALSE))</f>
        <v/>
      </c>
      <c r="L56" s="338" t="str">
        <f>IF(MOD(MATCH(J56,Calculs!$R$4:$R$93,1),2)=0,""," ")</f>
        <v/>
      </c>
      <c r="M56" s="338" t="str">
        <f>IF(MOD(MATCH(J56,Calculs!$S$4:$S$93,1),2)=0,""," ")</f>
        <v xml:space="preserve"> </v>
      </c>
      <c r="N56" s="347" t="str">
        <f>IF(MOD(MATCH(J56,Calculs!$T$4:$T$93,1),2)=0,""," ")</f>
        <v xml:space="preserve"> </v>
      </c>
      <c r="O56" s="339"/>
      <c r="P56" s="337" t="str">
        <f t="shared" si="2"/>
        <v>Ve</v>
      </c>
      <c r="Q56" s="338">
        <f>+Q54+1</f>
        <v>44281</v>
      </c>
      <c r="R56" s="344" t="str">
        <f>IF(ISNA(VLOOKUP(Q56,TAB_FERIES_PURS,4,FALSE)),"",VLOOKUP(Q56,TAB_FERIES_PURS,4,FALSE))</f>
        <v/>
      </c>
      <c r="S56" s="338" t="str">
        <f>IF(MOD(MATCH(Q56,Calculs!$R$4:$R$93,1),2)=0,""," ")</f>
        <v/>
      </c>
      <c r="T56" s="338" t="str">
        <f>IF(MOD(MATCH(Q56,Calculs!$S$4:$S$93,1),2)=0,""," ")</f>
        <v/>
      </c>
      <c r="U56" s="347" t="str">
        <f>IF(MOD(MATCH(Q56,Calculs!$T$4:$T$93,1),2)=0,""," ")</f>
        <v/>
      </c>
      <c r="V56" s="339"/>
      <c r="W56" s="337" t="str">
        <f t="shared" si="3"/>
        <v>Lu</v>
      </c>
      <c r="X56" s="338">
        <f>+X54+1</f>
        <v>44312</v>
      </c>
      <c r="Y56" s="344" t="str">
        <f>IF(ISNA(VLOOKUP(X56,TAB_FERIES_PURS,4,FALSE)),"",VLOOKUP(X56,TAB_FERIES_PURS,4,FALSE))</f>
        <v/>
      </c>
      <c r="Z56" s="338" t="str">
        <f>IF(MOD(MATCH(X56,Calculs!$R$4:$R$93,1),2)=0,""," ")</f>
        <v/>
      </c>
      <c r="AA56" s="338" t="str">
        <f>IF(MOD(MATCH(X56,Calculs!$S$4:$S$93,1),2)=0,""," ")</f>
        <v xml:space="preserve"> </v>
      </c>
      <c r="AB56" s="347" t="str">
        <f>IF(MOD(MATCH(X56,Calculs!$T$4:$T$93,1),2)=0,""," ")</f>
        <v xml:space="preserve"> </v>
      </c>
      <c r="AC56" s="339"/>
      <c r="AD56" s="337" t="str">
        <f t="shared" si="4"/>
        <v>Me</v>
      </c>
      <c r="AE56" s="338">
        <f>+AE54+1</f>
        <v>44342</v>
      </c>
      <c r="AF56" s="344" t="str">
        <f>IF(ISNA(VLOOKUP(AE56,TAB_FERIES_PURS,4,FALSE)),"",VLOOKUP(AE56,TAB_FERIES_PURS,4,FALSE))</f>
        <v/>
      </c>
      <c r="AG56" s="338" t="str">
        <f>IF(MOD(MATCH(AE56,Calculs!$R$4:$R$93,1),2)=0,""," ")</f>
        <v/>
      </c>
      <c r="AH56" s="338" t="str">
        <f>IF(MOD(MATCH(AE56,Calculs!$S$4:$S$93,1),2)=0,""," ")</f>
        <v/>
      </c>
      <c r="AI56" s="347" t="str">
        <f>IF(MOD(MATCH(AE56,Calculs!$T$4:$T$93,1),2)=0,""," ")</f>
        <v/>
      </c>
      <c r="AJ56" s="339"/>
      <c r="AK56" s="337" t="str">
        <f t="shared" si="5"/>
        <v>Sa</v>
      </c>
      <c r="AL56" s="338">
        <f>+AL54+1</f>
        <v>44373</v>
      </c>
      <c r="AM56" s="344" t="str">
        <f>IF(ISNA(VLOOKUP(AL56,TAB_FERIES_PURS,4,FALSE)),"",VLOOKUP(AL56,TAB_FERIES_PURS,4,FALSE))</f>
        <v/>
      </c>
      <c r="AN56" s="338" t="str">
        <f>IF(MOD(MATCH(AL56,Calculs!$R$4:$R$93,1),2)=0,""," ")</f>
        <v/>
      </c>
      <c r="AO56" s="338" t="str">
        <f>IF(MOD(MATCH(AL56,Calculs!$S$4:$S$93,1),2)=0,""," ")</f>
        <v/>
      </c>
      <c r="AP56" s="347" t="str">
        <f>IF(MOD(MATCH(AL56,Calculs!$T$4:$T$93,1),2)=0,""," ")</f>
        <v/>
      </c>
      <c r="AQ56" s="339"/>
      <c r="AR56" s="337" t="str">
        <f t="shared" si="6"/>
        <v>Lu</v>
      </c>
      <c r="AS56" s="338">
        <f>+AS54+1</f>
        <v>44403</v>
      </c>
      <c r="AT56" s="344" t="str">
        <f>IF(ISNA(VLOOKUP(AS56,TAB_FERIES_PURS,4,FALSE)),"",VLOOKUP(AS56,TAB_FERIES_PURS,4,FALSE))</f>
        <v/>
      </c>
      <c r="AU56" s="338" t="str">
        <f>IF(MOD(MATCH(AS56,Calculs!$R$4:$R$93,1),2)=0,""," ")</f>
        <v xml:space="preserve"> </v>
      </c>
      <c r="AV56" s="338" t="str">
        <f>IF(MOD(MATCH(AS56,Calculs!$S$4:$S$93,1),2)=0,""," ")</f>
        <v xml:space="preserve"> </v>
      </c>
      <c r="AW56" s="347" t="str">
        <f>IF(MOD(MATCH(AS56,Calculs!$T$4:$T$93,1),2)=0,""," ")</f>
        <v xml:space="preserve"> </v>
      </c>
      <c r="AX56" s="339"/>
      <c r="AY56" s="337" t="str">
        <f t="shared" si="7"/>
        <v>Je</v>
      </c>
      <c r="AZ56" s="338">
        <f>+AZ54+1</f>
        <v>44434</v>
      </c>
      <c r="BA56" s="344" t="str">
        <f>IF(ISNA(VLOOKUP(AZ56,TAB_FERIES_PURS,4,FALSE)),"",VLOOKUP(AZ56,TAB_FERIES_PURS,4,FALSE))</f>
        <v/>
      </c>
      <c r="BB56" s="338" t="str">
        <f>IF(MOD(MATCH(AZ56,Calculs!$R$4:$R$93,1),2)=0,""," ")</f>
        <v xml:space="preserve"> </v>
      </c>
      <c r="BC56" s="338" t="str">
        <f>IF(MOD(MATCH(AZ56,Calculs!$S$4:$S$93,1),2)=0,""," ")</f>
        <v xml:space="preserve"> </v>
      </c>
      <c r="BD56" s="347" t="str">
        <f>IF(MOD(MATCH(AZ56,Calculs!$T$4:$T$93,1),2)=0,""," ")</f>
        <v xml:space="preserve"> </v>
      </c>
      <c r="BE56" s="339"/>
      <c r="BF56" s="337" t="str">
        <f t="shared" si="8"/>
        <v>Di</v>
      </c>
      <c r="BG56" s="338">
        <f>+BG54+1</f>
        <v>44465</v>
      </c>
      <c r="BH56" s="344" t="str">
        <f>IF(ISNA(VLOOKUP(BG56,TAB_FERIES_PURS,4,FALSE)),"",VLOOKUP(BG56,TAB_FERIES_PURS,4,FALSE))</f>
        <v/>
      </c>
      <c r="BI56" s="338" t="str">
        <f>IF(MOD(MATCH(BG56,Calculs!$R$4:$R$93,1),2)=0,""," ")</f>
        <v/>
      </c>
      <c r="BJ56" s="338" t="str">
        <f>IF(MOD(MATCH(BG56,Calculs!$S$4:$S$93,1),2)=0,""," ")</f>
        <v/>
      </c>
      <c r="BK56" s="347" t="str">
        <f>IF(MOD(MATCH(BG56,Calculs!$T$4:$T$93,1),2)=0,""," ")</f>
        <v/>
      </c>
      <c r="BL56" s="339"/>
      <c r="BM56" s="337" t="str">
        <f t="shared" si="9"/>
        <v>Ma</v>
      </c>
      <c r="BN56" s="338">
        <f>+BN54+1</f>
        <v>44495</v>
      </c>
      <c r="BO56" s="344" t="str">
        <f>IF(ISNA(VLOOKUP(BN56,TAB_FERIES_PURS,4,FALSE)),"",VLOOKUP(BN56,TAB_FERIES_PURS,4,FALSE))</f>
        <v/>
      </c>
      <c r="BP56" s="338" t="str">
        <f>IF(MOD(MATCH(BN56,Calculs!$R$4:$R$93,1),2)=0,""," ")</f>
        <v xml:space="preserve"> </v>
      </c>
      <c r="BQ56" s="338" t="str">
        <f>IF(MOD(MATCH(BN56,Calculs!$S$4:$S$93,1),2)=0,""," ")</f>
        <v xml:space="preserve"> </v>
      </c>
      <c r="BR56" s="347" t="str">
        <f>IF(MOD(MATCH(BN56,Calculs!$T$4:$T$93,1),2)=0,""," ")</f>
        <v xml:space="preserve"> </v>
      </c>
      <c r="BS56" s="339"/>
      <c r="BT56" s="337" t="str">
        <f t="shared" si="10"/>
        <v>Ve</v>
      </c>
      <c r="BU56" s="338">
        <f>+BU54+1</f>
        <v>44526</v>
      </c>
      <c r="BV56" s="344" t="str">
        <f>IF(ISNA(VLOOKUP(BU56,TAB_FERIES_PURS,4,FALSE)),"",VLOOKUP(BU56,TAB_FERIES_PURS,4,FALSE))</f>
        <v/>
      </c>
      <c r="BW56" s="338" t="str">
        <f>IF(MOD(MATCH(BU56,Calculs!$R$4:$R$93,1),2)=0,""," ")</f>
        <v/>
      </c>
      <c r="BX56" s="338" t="str">
        <f>IF(MOD(MATCH(BU56,Calculs!$S$4:$S$93,1),2)=0,""," ")</f>
        <v/>
      </c>
      <c r="BY56" s="347" t="str">
        <f>IF(MOD(MATCH(BU56,Calculs!$T$4:$T$93,1),2)=0,""," ")</f>
        <v/>
      </c>
      <c r="BZ56" s="339"/>
      <c r="CA56" s="337" t="str">
        <f t="shared" si="11"/>
        <v>Di</v>
      </c>
      <c r="CB56" s="338">
        <f>+CB54+1</f>
        <v>44556</v>
      </c>
      <c r="CC56" s="344" t="str">
        <f>IF(ISNA(VLOOKUP(CB56,TAB_FERIES_PURS,4,FALSE)),"",VLOOKUP(CB56,TAB_FERIES_PURS,4,FALSE))</f>
        <v/>
      </c>
      <c r="CD56" s="338" t="str">
        <f>IF(MOD(MATCH(CB56,Calculs!$R$4:$R$93,1),2)=0,""," ")</f>
        <v xml:space="preserve"> </v>
      </c>
      <c r="CE56" s="338" t="str">
        <f>IF(MOD(MATCH(CB56,Calculs!$S$4:$S$93,1),2)=0,""," ")</f>
        <v xml:space="preserve"> </v>
      </c>
      <c r="CF56" s="347" t="str">
        <f>IF(MOD(MATCH(CB56,Calculs!$T$4:$T$93,1),2)=0,""," ")</f>
        <v xml:space="preserve"> </v>
      </c>
      <c r="CG56" s="360"/>
    </row>
    <row r="57" spans="1:85" s="345" customFormat="1" ht="4" customHeight="1" x14ac:dyDescent="0.15">
      <c r="A57" s="359"/>
      <c r="B57" s="337"/>
      <c r="C57" s="338"/>
      <c r="D57" s="340"/>
      <c r="E57" s="339"/>
      <c r="F57" s="339"/>
      <c r="G57" s="347"/>
      <c r="H57" s="339"/>
      <c r="I57" s="337"/>
      <c r="J57" s="338"/>
      <c r="K57" s="340"/>
      <c r="L57" s="339"/>
      <c r="M57" s="339"/>
      <c r="N57" s="347"/>
      <c r="O57" s="339"/>
      <c r="P57" s="337"/>
      <c r="Q57" s="338"/>
      <c r="R57" s="340"/>
      <c r="S57" s="339"/>
      <c r="T57" s="339"/>
      <c r="U57" s="347"/>
      <c r="V57" s="339"/>
      <c r="W57" s="337"/>
      <c r="X57" s="338"/>
      <c r="Y57" s="340"/>
      <c r="Z57" s="339"/>
      <c r="AA57" s="339"/>
      <c r="AB57" s="347"/>
      <c r="AC57" s="339"/>
      <c r="AD57" s="337"/>
      <c r="AE57" s="338"/>
      <c r="AF57" s="340"/>
      <c r="AG57" s="339"/>
      <c r="AH57" s="339"/>
      <c r="AI57" s="347"/>
      <c r="AJ57" s="339"/>
      <c r="AK57" s="337"/>
      <c r="AL57" s="338"/>
      <c r="AM57" s="340"/>
      <c r="AN57" s="339"/>
      <c r="AO57" s="339"/>
      <c r="AP57" s="347"/>
      <c r="AQ57" s="339"/>
      <c r="AR57" s="337"/>
      <c r="AS57" s="338"/>
      <c r="AT57" s="340"/>
      <c r="AU57" s="339"/>
      <c r="AV57" s="339"/>
      <c r="AW57" s="347"/>
      <c r="AX57" s="339"/>
      <c r="AY57" s="337"/>
      <c r="AZ57" s="338"/>
      <c r="BA57" s="340"/>
      <c r="BB57" s="339"/>
      <c r="BC57" s="339"/>
      <c r="BD57" s="347"/>
      <c r="BE57" s="339"/>
      <c r="BF57" s="337"/>
      <c r="BG57" s="338"/>
      <c r="BH57" s="340"/>
      <c r="BI57" s="339"/>
      <c r="BJ57" s="339"/>
      <c r="BK57" s="347"/>
      <c r="BL57" s="339"/>
      <c r="BM57" s="337"/>
      <c r="BN57" s="338"/>
      <c r="BO57" s="340"/>
      <c r="BP57" s="339"/>
      <c r="BQ57" s="339"/>
      <c r="BR57" s="347"/>
      <c r="BS57" s="339"/>
      <c r="BT57" s="337"/>
      <c r="BU57" s="338"/>
      <c r="BV57" s="340"/>
      <c r="BW57" s="339"/>
      <c r="BX57" s="339"/>
      <c r="BY57" s="347"/>
      <c r="BZ57" s="339"/>
      <c r="CA57" s="337"/>
      <c r="CB57" s="338"/>
      <c r="CC57" s="340"/>
      <c r="CD57" s="339"/>
      <c r="CE57" s="339"/>
      <c r="CF57" s="347"/>
      <c r="CG57" s="360"/>
    </row>
    <row r="58" spans="1:85" s="345" customFormat="1" ht="18" customHeight="1" x14ac:dyDescent="0.15">
      <c r="A58" s="359"/>
      <c r="B58" s="337" t="str">
        <f t="shared" si="0"/>
        <v>Me</v>
      </c>
      <c r="C58" s="338">
        <f>+C56+1</f>
        <v>44223</v>
      </c>
      <c r="D58" s="344" t="str">
        <f>IF(ISNA(VLOOKUP(C58,TAB_FERIES_PURS,4,FALSE)),"",VLOOKUP(C58,TAB_FERIES_PURS,4,FALSE))</f>
        <v/>
      </c>
      <c r="E58" s="338" t="str">
        <f>IF(MOD(MATCH(C58,Calculs!$R$4:$R$93,1),2)=0,""," ")</f>
        <v/>
      </c>
      <c r="F58" s="338" t="str">
        <f>IF(MOD(MATCH(C58,Calculs!$S$4:$S$93,1),2)=0,""," ")</f>
        <v/>
      </c>
      <c r="G58" s="347" t="str">
        <f>IF(MOD(MATCH(C58,Calculs!$T$4:$T$93,1),2)=0,""," ")</f>
        <v/>
      </c>
      <c r="H58" s="339"/>
      <c r="I58" s="337" t="str">
        <f t="shared" si="1"/>
        <v>Sa</v>
      </c>
      <c r="J58" s="338">
        <f>+J56+1</f>
        <v>44254</v>
      </c>
      <c r="K58" s="344" t="str">
        <f>IF(ISNA(VLOOKUP(J58,TAB_FERIES_PURS,4,FALSE)),"",VLOOKUP(J58,TAB_FERIES_PURS,4,FALSE))</f>
        <v/>
      </c>
      <c r="L58" s="338" t="str">
        <f>IF(MOD(MATCH(J58,Calculs!$R$4:$R$93,1),2)=0,""," ")</f>
        <v/>
      </c>
      <c r="M58" s="338" t="str">
        <f>IF(MOD(MATCH(J58,Calculs!$S$4:$S$93,1),2)=0,""," ")</f>
        <v xml:space="preserve"> </v>
      </c>
      <c r="N58" s="347" t="str">
        <f>IF(MOD(MATCH(J58,Calculs!$T$4:$T$93,1),2)=0,""," ")</f>
        <v xml:space="preserve"> </v>
      </c>
      <c r="O58" s="339"/>
      <c r="P58" s="337" t="str">
        <f t="shared" si="2"/>
        <v>Sa</v>
      </c>
      <c r="Q58" s="338">
        <f>+Q56+1</f>
        <v>44282</v>
      </c>
      <c r="R58" s="344" t="str">
        <f>IF(ISNA(VLOOKUP(Q58,TAB_FERIES_PURS,4,FALSE)),"",VLOOKUP(Q58,TAB_FERIES_PURS,4,FALSE))</f>
        <v/>
      </c>
      <c r="S58" s="338" t="str">
        <f>IF(MOD(MATCH(Q58,Calculs!$R$4:$R$93,1),2)=0,""," ")</f>
        <v/>
      </c>
      <c r="T58" s="338" t="str">
        <f>IF(MOD(MATCH(Q58,Calculs!$S$4:$S$93,1),2)=0,""," ")</f>
        <v/>
      </c>
      <c r="U58" s="347" t="str">
        <f>IF(MOD(MATCH(Q58,Calculs!$T$4:$T$93,1),2)=0,""," ")</f>
        <v/>
      </c>
      <c r="V58" s="339"/>
      <c r="W58" s="337" t="str">
        <f t="shared" si="3"/>
        <v>Ma</v>
      </c>
      <c r="X58" s="338">
        <f>+X56+1</f>
        <v>44313</v>
      </c>
      <c r="Y58" s="344" t="str">
        <f>IF(ISNA(VLOOKUP(X58,TAB_FERIES_PURS,4,FALSE)),"",VLOOKUP(X58,TAB_FERIES_PURS,4,FALSE))</f>
        <v/>
      </c>
      <c r="Z58" s="338" t="str">
        <f>IF(MOD(MATCH(X58,Calculs!$R$4:$R$93,1),2)=0,""," ")</f>
        <v/>
      </c>
      <c r="AA58" s="338" t="str">
        <f>IF(MOD(MATCH(X58,Calculs!$S$4:$S$93,1),2)=0,""," ")</f>
        <v xml:space="preserve"> </v>
      </c>
      <c r="AB58" s="347" t="str">
        <f>IF(MOD(MATCH(X58,Calculs!$T$4:$T$93,1),2)=0,""," ")</f>
        <v xml:space="preserve"> </v>
      </c>
      <c r="AC58" s="339"/>
      <c r="AD58" s="337" t="str">
        <f t="shared" si="4"/>
        <v>Je</v>
      </c>
      <c r="AE58" s="338">
        <f>+AE56+1</f>
        <v>44343</v>
      </c>
      <c r="AF58" s="344" t="str">
        <f>IF(ISNA(VLOOKUP(AE58,TAB_FERIES_PURS,4,FALSE)),"",VLOOKUP(AE58,TAB_FERIES_PURS,4,FALSE))</f>
        <v/>
      </c>
      <c r="AG58" s="338" t="str">
        <f>IF(MOD(MATCH(AE58,Calculs!$R$4:$R$93,1),2)=0,""," ")</f>
        <v/>
      </c>
      <c r="AH58" s="338" t="str">
        <f>IF(MOD(MATCH(AE58,Calculs!$S$4:$S$93,1),2)=0,""," ")</f>
        <v/>
      </c>
      <c r="AI58" s="347" t="str">
        <f>IF(MOD(MATCH(AE58,Calculs!$T$4:$T$93,1),2)=0,""," ")</f>
        <v/>
      </c>
      <c r="AJ58" s="339"/>
      <c r="AK58" s="337" t="str">
        <f t="shared" si="5"/>
        <v>Di</v>
      </c>
      <c r="AL58" s="338">
        <f>+AL56+1</f>
        <v>44374</v>
      </c>
      <c r="AM58" s="344" t="str">
        <f>IF(ISNA(VLOOKUP(AL58,TAB_FERIES_PURS,4,FALSE)),"",VLOOKUP(AL58,TAB_FERIES_PURS,4,FALSE))</f>
        <v/>
      </c>
      <c r="AN58" s="338" t="str">
        <f>IF(MOD(MATCH(AL58,Calculs!$R$4:$R$93,1),2)=0,""," ")</f>
        <v/>
      </c>
      <c r="AO58" s="338" t="str">
        <f>IF(MOD(MATCH(AL58,Calculs!$S$4:$S$93,1),2)=0,""," ")</f>
        <v/>
      </c>
      <c r="AP58" s="347" t="str">
        <f>IF(MOD(MATCH(AL58,Calculs!$T$4:$T$93,1),2)=0,""," ")</f>
        <v/>
      </c>
      <c r="AQ58" s="339"/>
      <c r="AR58" s="337" t="str">
        <f t="shared" si="6"/>
        <v>Ma</v>
      </c>
      <c r="AS58" s="338">
        <f>+AS56+1</f>
        <v>44404</v>
      </c>
      <c r="AT58" s="344" t="str">
        <f>IF(ISNA(VLOOKUP(AS58,TAB_FERIES_PURS,4,FALSE)),"",VLOOKUP(AS58,TAB_FERIES_PURS,4,FALSE))</f>
        <v/>
      </c>
      <c r="AU58" s="338" t="str">
        <f>IF(MOD(MATCH(AS58,Calculs!$R$4:$R$93,1),2)=0,""," ")</f>
        <v xml:space="preserve"> </v>
      </c>
      <c r="AV58" s="338" t="str">
        <f>IF(MOD(MATCH(AS58,Calculs!$S$4:$S$93,1),2)=0,""," ")</f>
        <v xml:space="preserve"> </v>
      </c>
      <c r="AW58" s="347" t="str">
        <f>IF(MOD(MATCH(AS58,Calculs!$T$4:$T$93,1),2)=0,""," ")</f>
        <v xml:space="preserve"> </v>
      </c>
      <c r="AX58" s="339"/>
      <c r="AY58" s="337" t="str">
        <f t="shared" si="7"/>
        <v>Ve</v>
      </c>
      <c r="AZ58" s="338">
        <f>+AZ56+1</f>
        <v>44435</v>
      </c>
      <c r="BA58" s="344" t="str">
        <f>IF(ISNA(VLOOKUP(AZ58,TAB_FERIES_PURS,4,FALSE)),"",VLOOKUP(AZ58,TAB_FERIES_PURS,4,FALSE))</f>
        <v/>
      </c>
      <c r="BB58" s="338" t="str">
        <f>IF(MOD(MATCH(AZ58,Calculs!$R$4:$R$93,1),2)=0,""," ")</f>
        <v xml:space="preserve"> </v>
      </c>
      <c r="BC58" s="338" t="str">
        <f>IF(MOD(MATCH(AZ58,Calculs!$S$4:$S$93,1),2)=0,""," ")</f>
        <v xml:space="preserve"> </v>
      </c>
      <c r="BD58" s="347" t="str">
        <f>IF(MOD(MATCH(AZ58,Calculs!$T$4:$T$93,1),2)=0,""," ")</f>
        <v xml:space="preserve"> </v>
      </c>
      <c r="BE58" s="339"/>
      <c r="BF58" s="337" t="str">
        <f t="shared" si="8"/>
        <v>Lu</v>
      </c>
      <c r="BG58" s="338">
        <f>+BG56+1</f>
        <v>44466</v>
      </c>
      <c r="BH58" s="344" t="str">
        <f>IF(ISNA(VLOOKUP(BG58,TAB_FERIES_PURS,4,FALSE)),"",VLOOKUP(BG58,TAB_FERIES_PURS,4,FALSE))</f>
        <v/>
      </c>
      <c r="BI58" s="338" t="str">
        <f>IF(MOD(MATCH(BG58,Calculs!$R$4:$R$93,1),2)=0,""," ")</f>
        <v/>
      </c>
      <c r="BJ58" s="338" t="str">
        <f>IF(MOD(MATCH(BG58,Calculs!$S$4:$S$93,1),2)=0,""," ")</f>
        <v/>
      </c>
      <c r="BK58" s="347" t="str">
        <f>IF(MOD(MATCH(BG58,Calculs!$T$4:$T$93,1),2)=0,""," ")</f>
        <v/>
      </c>
      <c r="BL58" s="339"/>
      <c r="BM58" s="337" t="str">
        <f t="shared" si="9"/>
        <v>Me</v>
      </c>
      <c r="BN58" s="338">
        <f>+BN56+1</f>
        <v>44496</v>
      </c>
      <c r="BO58" s="344" t="str">
        <f>IF(ISNA(VLOOKUP(BN58,TAB_FERIES_PURS,4,FALSE)),"",VLOOKUP(BN58,TAB_FERIES_PURS,4,FALSE))</f>
        <v/>
      </c>
      <c r="BP58" s="338" t="str">
        <f>IF(MOD(MATCH(BN58,Calculs!$R$4:$R$93,1),2)=0,""," ")</f>
        <v xml:space="preserve"> </v>
      </c>
      <c r="BQ58" s="338" t="str">
        <f>IF(MOD(MATCH(BN58,Calculs!$S$4:$S$93,1),2)=0,""," ")</f>
        <v xml:space="preserve"> </v>
      </c>
      <c r="BR58" s="347" t="str">
        <f>IF(MOD(MATCH(BN58,Calculs!$T$4:$T$93,1),2)=0,""," ")</f>
        <v xml:space="preserve"> </v>
      </c>
      <c r="BS58" s="339"/>
      <c r="BT58" s="337" t="str">
        <f t="shared" si="10"/>
        <v>Sa</v>
      </c>
      <c r="BU58" s="338">
        <f>+BU56+1</f>
        <v>44527</v>
      </c>
      <c r="BV58" s="344" t="str">
        <f>IF(ISNA(VLOOKUP(BU58,TAB_FERIES_PURS,4,FALSE)),"",VLOOKUP(BU58,TAB_FERIES_PURS,4,FALSE))</f>
        <v/>
      </c>
      <c r="BW58" s="338" t="str">
        <f>IF(MOD(MATCH(BU58,Calculs!$R$4:$R$93,1),2)=0,""," ")</f>
        <v/>
      </c>
      <c r="BX58" s="338" t="str">
        <f>IF(MOD(MATCH(BU58,Calculs!$S$4:$S$93,1),2)=0,""," ")</f>
        <v/>
      </c>
      <c r="BY58" s="347" t="str">
        <f>IF(MOD(MATCH(BU58,Calculs!$T$4:$T$93,1),2)=0,""," ")</f>
        <v/>
      </c>
      <c r="BZ58" s="339"/>
      <c r="CA58" s="337" t="str">
        <f t="shared" si="11"/>
        <v>Lu</v>
      </c>
      <c r="CB58" s="338">
        <f>+CB56+1</f>
        <v>44557</v>
      </c>
      <c r="CC58" s="344" t="str">
        <f>IF(ISNA(VLOOKUP(CB58,TAB_FERIES_PURS,4,FALSE)),"",VLOOKUP(CB58,TAB_FERIES_PURS,4,FALSE))</f>
        <v/>
      </c>
      <c r="CD58" s="338" t="str">
        <f>IF(MOD(MATCH(CB58,Calculs!$R$4:$R$93,1),2)=0,""," ")</f>
        <v xml:space="preserve"> </v>
      </c>
      <c r="CE58" s="338" t="str">
        <f>IF(MOD(MATCH(CB58,Calculs!$S$4:$S$93,1),2)=0,""," ")</f>
        <v xml:space="preserve"> </v>
      </c>
      <c r="CF58" s="347" t="str">
        <f>IF(MOD(MATCH(CB58,Calculs!$T$4:$T$93,1),2)=0,""," ")</f>
        <v xml:space="preserve"> </v>
      </c>
      <c r="CG58" s="360"/>
    </row>
    <row r="59" spans="1:85" s="345" customFormat="1" ht="4" customHeight="1" x14ac:dyDescent="0.15">
      <c r="A59" s="359"/>
      <c r="B59" s="337"/>
      <c r="C59" s="338"/>
      <c r="D59" s="340"/>
      <c r="E59" s="339"/>
      <c r="F59" s="339"/>
      <c r="G59" s="347"/>
      <c r="H59" s="339"/>
      <c r="I59" s="337"/>
      <c r="J59" s="338"/>
      <c r="K59" s="340"/>
      <c r="L59" s="339"/>
      <c r="M59" s="339"/>
      <c r="N59" s="347"/>
      <c r="O59" s="339"/>
      <c r="P59" s="337"/>
      <c r="Q59" s="338"/>
      <c r="R59" s="340"/>
      <c r="S59" s="339"/>
      <c r="T59" s="339"/>
      <c r="U59" s="347"/>
      <c r="V59" s="339"/>
      <c r="W59" s="337"/>
      <c r="X59" s="338"/>
      <c r="Y59" s="340"/>
      <c r="Z59" s="339"/>
      <c r="AA59" s="339"/>
      <c r="AB59" s="347"/>
      <c r="AC59" s="339"/>
      <c r="AD59" s="337"/>
      <c r="AE59" s="338"/>
      <c r="AF59" s="340"/>
      <c r="AG59" s="339"/>
      <c r="AH59" s="339"/>
      <c r="AI59" s="347"/>
      <c r="AJ59" s="339"/>
      <c r="AK59" s="337"/>
      <c r="AL59" s="338"/>
      <c r="AM59" s="340"/>
      <c r="AN59" s="339"/>
      <c r="AO59" s="339"/>
      <c r="AP59" s="347"/>
      <c r="AQ59" s="339"/>
      <c r="AR59" s="337"/>
      <c r="AS59" s="338"/>
      <c r="AT59" s="340"/>
      <c r="AU59" s="339"/>
      <c r="AV59" s="339"/>
      <c r="AW59" s="347"/>
      <c r="AX59" s="339"/>
      <c r="AY59" s="337"/>
      <c r="AZ59" s="338"/>
      <c r="BA59" s="340"/>
      <c r="BB59" s="339"/>
      <c r="BC59" s="339"/>
      <c r="BD59" s="347"/>
      <c r="BE59" s="339"/>
      <c r="BF59" s="337"/>
      <c r="BG59" s="338"/>
      <c r="BH59" s="340"/>
      <c r="BI59" s="339"/>
      <c r="BJ59" s="339"/>
      <c r="BK59" s="347"/>
      <c r="BL59" s="339"/>
      <c r="BM59" s="337"/>
      <c r="BN59" s="338"/>
      <c r="BO59" s="340"/>
      <c r="BP59" s="339"/>
      <c r="BQ59" s="339"/>
      <c r="BR59" s="347"/>
      <c r="BS59" s="339"/>
      <c r="BT59" s="337"/>
      <c r="BU59" s="338"/>
      <c r="BV59" s="340"/>
      <c r="BW59" s="339"/>
      <c r="BX59" s="339"/>
      <c r="BY59" s="347"/>
      <c r="BZ59" s="339"/>
      <c r="CA59" s="337"/>
      <c r="CB59" s="338"/>
      <c r="CC59" s="340"/>
      <c r="CD59" s="339"/>
      <c r="CE59" s="339"/>
      <c r="CF59" s="347"/>
      <c r="CG59" s="360"/>
    </row>
    <row r="60" spans="1:85" s="345" customFormat="1" ht="18" customHeight="1" x14ac:dyDescent="0.15">
      <c r="A60" s="359"/>
      <c r="B60" s="337" t="str">
        <f t="shared" si="0"/>
        <v>Je</v>
      </c>
      <c r="C60" s="338">
        <f>+C58+1</f>
        <v>44224</v>
      </c>
      <c r="D60" s="344" t="str">
        <f>IF(ISNA(VLOOKUP(C60,TAB_FERIES_PURS,4,FALSE)),"",VLOOKUP(C60,TAB_FERIES_PURS,4,FALSE))</f>
        <v/>
      </c>
      <c r="E60" s="338" t="str">
        <f>IF(MOD(MATCH(C60,Calculs!$R$4:$R$93,1),2)=0,""," ")</f>
        <v/>
      </c>
      <c r="F60" s="338" t="str">
        <f>IF(MOD(MATCH(C60,Calculs!$S$4:$S$93,1),2)=0,""," ")</f>
        <v/>
      </c>
      <c r="G60" s="347" t="str">
        <f>IF(MOD(MATCH(C60,Calculs!$T$4:$T$93,1),2)=0,""," ")</f>
        <v/>
      </c>
      <c r="H60" s="339"/>
      <c r="I60" s="337" t="str">
        <f t="shared" si="1"/>
        <v>Di</v>
      </c>
      <c r="J60" s="338">
        <f>+J58+1</f>
        <v>44255</v>
      </c>
      <c r="K60" s="344" t="str">
        <f>IF(ISNA(VLOOKUP(J60,TAB_FERIES_PURS,4,FALSE)),"",VLOOKUP(J60,TAB_FERIES_PURS,4,FALSE))</f>
        <v/>
      </c>
      <c r="L60" s="338" t="str">
        <f>IF(MOD(MATCH(J60,Calculs!$R$4:$R$93,1),2)=0,""," ")</f>
        <v/>
      </c>
      <c r="M60" s="338" t="str">
        <f>IF(MOD(MATCH(J60,Calculs!$S$4:$S$93,1),2)=0,""," ")</f>
        <v xml:space="preserve"> </v>
      </c>
      <c r="N60" s="347" t="str">
        <f>IF(MOD(MATCH(J60,Calculs!$T$4:$T$93,1),2)=0,""," ")</f>
        <v xml:space="preserve"> </v>
      </c>
      <c r="O60" s="339"/>
      <c r="P60" s="337" t="str">
        <f t="shared" si="2"/>
        <v>Di</v>
      </c>
      <c r="Q60" s="338">
        <f>+Q58+1</f>
        <v>44283</v>
      </c>
      <c r="R60" s="344" t="str">
        <f>IF(ISNA(VLOOKUP(Q60,TAB_FERIES_PURS,4,FALSE)),"",VLOOKUP(Q60,TAB_FERIES_PURS,4,FALSE))</f>
        <v>F</v>
      </c>
      <c r="S60" s="338" t="str">
        <f>IF(MOD(MATCH(Q60,Calculs!$R$4:$R$93,1),2)=0,""," ")</f>
        <v/>
      </c>
      <c r="T60" s="338" t="str">
        <f>IF(MOD(MATCH(Q60,Calculs!$S$4:$S$93,1),2)=0,""," ")</f>
        <v/>
      </c>
      <c r="U60" s="347" t="str">
        <f>IF(MOD(MATCH(Q60,Calculs!$T$4:$T$93,1),2)=0,""," ")</f>
        <v/>
      </c>
      <c r="V60" s="339"/>
      <c r="W60" s="337" t="str">
        <f t="shared" si="3"/>
        <v>Me</v>
      </c>
      <c r="X60" s="338">
        <f>+X58+1</f>
        <v>44314</v>
      </c>
      <c r="Y60" s="344" t="str">
        <f>IF(ISNA(VLOOKUP(X60,TAB_FERIES_PURS,4,FALSE)),"",VLOOKUP(X60,TAB_FERIES_PURS,4,FALSE))</f>
        <v/>
      </c>
      <c r="Z60" s="338" t="str">
        <f>IF(MOD(MATCH(X60,Calculs!$R$4:$R$93,1),2)=0,""," ")</f>
        <v/>
      </c>
      <c r="AA60" s="338" t="str">
        <f>IF(MOD(MATCH(X60,Calculs!$S$4:$S$93,1),2)=0,""," ")</f>
        <v xml:space="preserve"> </v>
      </c>
      <c r="AB60" s="347" t="str">
        <f>IF(MOD(MATCH(X60,Calculs!$T$4:$T$93,1),2)=0,""," ")</f>
        <v xml:space="preserve"> </v>
      </c>
      <c r="AC60" s="339"/>
      <c r="AD60" s="337" t="str">
        <f t="shared" si="4"/>
        <v>Ve</v>
      </c>
      <c r="AE60" s="338">
        <f>+AE58+1</f>
        <v>44344</v>
      </c>
      <c r="AF60" s="344" t="str">
        <f>IF(ISNA(VLOOKUP(AE60,TAB_FERIES_PURS,4,FALSE)),"",VLOOKUP(AE60,TAB_FERIES_PURS,4,FALSE))</f>
        <v/>
      </c>
      <c r="AG60" s="338" t="str">
        <f>IF(MOD(MATCH(AE60,Calculs!$R$4:$R$93,1),2)=0,""," ")</f>
        <v/>
      </c>
      <c r="AH60" s="338" t="str">
        <f>IF(MOD(MATCH(AE60,Calculs!$S$4:$S$93,1),2)=0,""," ")</f>
        <v/>
      </c>
      <c r="AI60" s="347" t="str">
        <f>IF(MOD(MATCH(AE60,Calculs!$T$4:$T$93,1),2)=0,""," ")</f>
        <v/>
      </c>
      <c r="AJ60" s="339"/>
      <c r="AK60" s="337" t="str">
        <f t="shared" si="5"/>
        <v>Lu</v>
      </c>
      <c r="AL60" s="338">
        <f>+AL58+1</f>
        <v>44375</v>
      </c>
      <c r="AM60" s="344" t="str">
        <f>IF(ISNA(VLOOKUP(AL60,TAB_FERIES_PURS,4,FALSE)),"",VLOOKUP(AL60,TAB_FERIES_PURS,4,FALSE))</f>
        <v/>
      </c>
      <c r="AN60" s="338" t="str">
        <f>IF(MOD(MATCH(AL60,Calculs!$R$4:$R$93,1),2)=0,""," ")</f>
        <v/>
      </c>
      <c r="AO60" s="338" t="str">
        <f>IF(MOD(MATCH(AL60,Calculs!$S$4:$S$93,1),2)=0,""," ")</f>
        <v/>
      </c>
      <c r="AP60" s="347" t="str">
        <f>IF(MOD(MATCH(AL60,Calculs!$T$4:$T$93,1),2)=0,""," ")</f>
        <v/>
      </c>
      <c r="AQ60" s="339"/>
      <c r="AR60" s="337" t="str">
        <f t="shared" si="6"/>
        <v>Me</v>
      </c>
      <c r="AS60" s="338">
        <f>+AS58+1</f>
        <v>44405</v>
      </c>
      <c r="AT60" s="344" t="str">
        <f>IF(ISNA(VLOOKUP(AS60,TAB_FERIES_PURS,4,FALSE)),"",VLOOKUP(AS60,TAB_FERIES_PURS,4,FALSE))</f>
        <v/>
      </c>
      <c r="AU60" s="338" t="str">
        <f>IF(MOD(MATCH(AS60,Calculs!$R$4:$R$93,1),2)=0,""," ")</f>
        <v xml:space="preserve"> </v>
      </c>
      <c r="AV60" s="338" t="str">
        <f>IF(MOD(MATCH(AS60,Calculs!$S$4:$S$93,1),2)=0,""," ")</f>
        <v xml:space="preserve"> </v>
      </c>
      <c r="AW60" s="347" t="str">
        <f>IF(MOD(MATCH(AS60,Calculs!$T$4:$T$93,1),2)=0,""," ")</f>
        <v xml:space="preserve"> </v>
      </c>
      <c r="AX60" s="339"/>
      <c r="AY60" s="337" t="str">
        <f t="shared" si="7"/>
        <v>Sa</v>
      </c>
      <c r="AZ60" s="338">
        <f>+AZ58+1</f>
        <v>44436</v>
      </c>
      <c r="BA60" s="344" t="str">
        <f>IF(ISNA(VLOOKUP(AZ60,TAB_FERIES_PURS,4,FALSE)),"",VLOOKUP(AZ60,TAB_FERIES_PURS,4,FALSE))</f>
        <v/>
      </c>
      <c r="BB60" s="338" t="str">
        <f>IF(MOD(MATCH(AZ60,Calculs!$R$4:$R$93,1),2)=0,""," ")</f>
        <v xml:space="preserve"> </v>
      </c>
      <c r="BC60" s="338" t="str">
        <f>IF(MOD(MATCH(AZ60,Calculs!$S$4:$S$93,1),2)=0,""," ")</f>
        <v xml:space="preserve"> </v>
      </c>
      <c r="BD60" s="347" t="str">
        <f>IF(MOD(MATCH(AZ60,Calculs!$T$4:$T$93,1),2)=0,""," ")</f>
        <v xml:space="preserve"> </v>
      </c>
      <c r="BE60" s="339"/>
      <c r="BF60" s="337" t="str">
        <f t="shared" si="8"/>
        <v>Ma</v>
      </c>
      <c r="BG60" s="338">
        <f>+BG58+1</f>
        <v>44467</v>
      </c>
      <c r="BH60" s="344" t="str">
        <f>IF(ISNA(VLOOKUP(BG60,TAB_FERIES_PURS,4,FALSE)),"",VLOOKUP(BG60,TAB_FERIES_PURS,4,FALSE))</f>
        <v/>
      </c>
      <c r="BI60" s="338" t="str">
        <f>IF(MOD(MATCH(BG60,Calculs!$R$4:$R$93,1),2)=0,""," ")</f>
        <v/>
      </c>
      <c r="BJ60" s="338" t="str">
        <f>IF(MOD(MATCH(BG60,Calculs!$S$4:$S$93,1),2)=0,""," ")</f>
        <v/>
      </c>
      <c r="BK60" s="347" t="str">
        <f>IF(MOD(MATCH(BG60,Calculs!$T$4:$T$93,1),2)=0,""," ")</f>
        <v/>
      </c>
      <c r="BL60" s="339"/>
      <c r="BM60" s="337" t="str">
        <f t="shared" si="9"/>
        <v>Je</v>
      </c>
      <c r="BN60" s="338">
        <f>+BN58+1</f>
        <v>44497</v>
      </c>
      <c r="BO60" s="344" t="str">
        <f>IF(ISNA(VLOOKUP(BN60,TAB_FERIES_PURS,4,FALSE)),"",VLOOKUP(BN60,TAB_FERIES_PURS,4,FALSE))</f>
        <v/>
      </c>
      <c r="BP60" s="338" t="str">
        <f>IF(MOD(MATCH(BN60,Calculs!$R$4:$R$93,1),2)=0,""," ")</f>
        <v xml:space="preserve"> </v>
      </c>
      <c r="BQ60" s="338" t="str">
        <f>IF(MOD(MATCH(BN60,Calculs!$S$4:$S$93,1),2)=0,""," ")</f>
        <v xml:space="preserve"> </v>
      </c>
      <c r="BR60" s="347" t="str">
        <f>IF(MOD(MATCH(BN60,Calculs!$T$4:$T$93,1),2)=0,""," ")</f>
        <v xml:space="preserve"> </v>
      </c>
      <c r="BS60" s="339"/>
      <c r="BT60" s="337" t="str">
        <f t="shared" si="10"/>
        <v>Di</v>
      </c>
      <c r="BU60" s="338">
        <f>+BU58+1</f>
        <v>44528</v>
      </c>
      <c r="BV60" s="344" t="str">
        <f>IF(ISNA(VLOOKUP(BU60,TAB_FERIES_PURS,4,FALSE)),"",VLOOKUP(BU60,TAB_FERIES_PURS,4,FALSE))</f>
        <v/>
      </c>
      <c r="BW60" s="338" t="str">
        <f>IF(MOD(MATCH(BU60,Calculs!$R$4:$R$93,1),2)=0,""," ")</f>
        <v/>
      </c>
      <c r="BX60" s="338" t="str">
        <f>IF(MOD(MATCH(BU60,Calculs!$S$4:$S$93,1),2)=0,""," ")</f>
        <v/>
      </c>
      <c r="BY60" s="347" t="str">
        <f>IF(MOD(MATCH(BU60,Calculs!$T$4:$T$93,1),2)=0,""," ")</f>
        <v/>
      </c>
      <c r="BZ60" s="339"/>
      <c r="CA60" s="337" t="str">
        <f t="shared" si="11"/>
        <v>Ma</v>
      </c>
      <c r="CB60" s="338">
        <f>+CB58+1</f>
        <v>44558</v>
      </c>
      <c r="CC60" s="344" t="str">
        <f>IF(ISNA(VLOOKUP(CB60,TAB_FERIES_PURS,4,FALSE)),"",VLOOKUP(CB60,TAB_FERIES_PURS,4,FALSE))</f>
        <v/>
      </c>
      <c r="CD60" s="338" t="str">
        <f>IF(MOD(MATCH(CB60,Calculs!$R$4:$R$93,1),2)=0,""," ")</f>
        <v xml:space="preserve"> </v>
      </c>
      <c r="CE60" s="338" t="str">
        <f>IF(MOD(MATCH(CB60,Calculs!$S$4:$S$93,1),2)=0,""," ")</f>
        <v xml:space="preserve"> </v>
      </c>
      <c r="CF60" s="347" t="str">
        <f>IF(MOD(MATCH(CB60,Calculs!$T$4:$T$93,1),2)=0,""," ")</f>
        <v xml:space="preserve"> </v>
      </c>
      <c r="CG60" s="360"/>
    </row>
    <row r="61" spans="1:85" s="345" customFormat="1" ht="4" customHeight="1" x14ac:dyDescent="0.15">
      <c r="A61" s="359"/>
      <c r="B61" s="337"/>
      <c r="C61" s="338"/>
      <c r="D61" s="340"/>
      <c r="E61" s="339"/>
      <c r="F61" s="339"/>
      <c r="G61" s="347"/>
      <c r="H61" s="339"/>
      <c r="I61" s="337"/>
      <c r="J61" s="338"/>
      <c r="K61" s="340"/>
      <c r="L61" s="339"/>
      <c r="M61" s="339"/>
      <c r="N61" s="347"/>
      <c r="O61" s="339"/>
      <c r="P61" s="337"/>
      <c r="Q61" s="338"/>
      <c r="R61" s="340"/>
      <c r="S61" s="339"/>
      <c r="T61" s="339"/>
      <c r="U61" s="347"/>
      <c r="V61" s="339"/>
      <c r="W61" s="337"/>
      <c r="X61" s="338"/>
      <c r="Y61" s="340"/>
      <c r="Z61" s="339"/>
      <c r="AA61" s="339"/>
      <c r="AB61" s="347"/>
      <c r="AC61" s="339"/>
      <c r="AD61" s="337"/>
      <c r="AE61" s="338"/>
      <c r="AF61" s="340"/>
      <c r="AG61" s="339"/>
      <c r="AH61" s="339"/>
      <c r="AI61" s="347"/>
      <c r="AJ61" s="339"/>
      <c r="AK61" s="337"/>
      <c r="AL61" s="338"/>
      <c r="AM61" s="340"/>
      <c r="AN61" s="339"/>
      <c r="AO61" s="339"/>
      <c r="AP61" s="347"/>
      <c r="AQ61" s="339"/>
      <c r="AR61" s="337"/>
      <c r="AS61" s="338"/>
      <c r="AT61" s="340"/>
      <c r="AU61" s="339"/>
      <c r="AV61" s="339"/>
      <c r="AW61" s="347"/>
      <c r="AX61" s="339"/>
      <c r="AY61" s="337"/>
      <c r="AZ61" s="338"/>
      <c r="BA61" s="340"/>
      <c r="BB61" s="339"/>
      <c r="BC61" s="339"/>
      <c r="BD61" s="347"/>
      <c r="BE61" s="339"/>
      <c r="BF61" s="337"/>
      <c r="BG61" s="338"/>
      <c r="BH61" s="340"/>
      <c r="BI61" s="339"/>
      <c r="BJ61" s="339"/>
      <c r="BK61" s="347"/>
      <c r="BL61" s="339"/>
      <c r="BM61" s="337"/>
      <c r="BN61" s="338"/>
      <c r="BO61" s="340"/>
      <c r="BP61" s="339"/>
      <c r="BQ61" s="339"/>
      <c r="BR61" s="347"/>
      <c r="BS61" s="339"/>
      <c r="BT61" s="337"/>
      <c r="BU61" s="338"/>
      <c r="BV61" s="340"/>
      <c r="BW61" s="339"/>
      <c r="BX61" s="339"/>
      <c r="BY61" s="347"/>
      <c r="BZ61" s="339"/>
      <c r="CA61" s="337"/>
      <c r="CB61" s="338"/>
      <c r="CC61" s="340"/>
      <c r="CD61" s="339"/>
      <c r="CE61" s="339"/>
      <c r="CF61" s="347"/>
      <c r="CG61" s="360"/>
    </row>
    <row r="62" spans="1:85" s="345" customFormat="1" ht="18" customHeight="1" x14ac:dyDescent="0.15">
      <c r="A62" s="359"/>
      <c r="B62" s="337" t="str">
        <f>IF(C62="","",VLOOKUP(WEEKDAY(C62,2),TAB_SEMAINE,2,FALSE))</f>
        <v>Ve</v>
      </c>
      <c r="C62" s="338">
        <f>IF(C60="","",IF(MONTH(C60)&lt;&gt;MONTH(C60+1),"",C60+1))</f>
        <v>44225</v>
      </c>
      <c r="D62" s="344" t="str">
        <f>IF(ISNA(VLOOKUP(C62,TAB_FERIES_PURS,4,FALSE)),"",VLOOKUP(C62,TAB_FERIES_PURS,4,FALSE))</f>
        <v/>
      </c>
      <c r="E62" s="338" t="str">
        <f>IF(MOD(MATCH(C62,Calculs!$R$4:$R$93,1),2)=0,""," ")</f>
        <v/>
      </c>
      <c r="F62" s="338" t="str">
        <f>IF(MOD(MATCH(C62,Calculs!$S$4:$S$93,1),2)=0,""," ")</f>
        <v/>
      </c>
      <c r="G62" s="347" t="str">
        <f>IF(MOD(MATCH(C62,Calculs!$T$4:$T$93,1),2)=0,""," ")</f>
        <v/>
      </c>
      <c r="H62" s="339"/>
      <c r="I62" s="337" t="str">
        <f>IF(J62="","",VLOOKUP(WEEKDAY(J62,2),TAB_SEMAINE,2,FALSE))</f>
        <v/>
      </c>
      <c r="J62" s="338" t="str">
        <f>IF(J60="","",IF(MONTH(J60)&lt;&gt;MONTH(J60+1),"",J60+1))</f>
        <v/>
      </c>
      <c r="K62" s="344" t="str">
        <f>IF(ISNA(VLOOKUP(J62,TAB_FERIES_PURS,4,FALSE)),"",VLOOKUP(J62,TAB_FERIES_PURS,4,FALSE))</f>
        <v/>
      </c>
      <c r="L62" s="338" t="e">
        <f>IF(MOD(MATCH(J62,Calculs!$R$4:$R$93,1),2)=0,""," ")</f>
        <v>#N/A</v>
      </c>
      <c r="M62" s="338" t="e">
        <f>IF(MOD(MATCH(J62,Calculs!$S$4:$S$93,1),2)=0,""," ")</f>
        <v>#N/A</v>
      </c>
      <c r="N62" s="347" t="e">
        <f>IF(MOD(MATCH(J62,Calculs!$T$4:$T$93,1),2)=0,""," ")</f>
        <v>#N/A</v>
      </c>
      <c r="O62" s="339"/>
      <c r="P62" s="337" t="str">
        <f>IF(Q62="","",VLOOKUP(WEEKDAY(Q62,2),TAB_SEMAINE,2,FALSE))</f>
        <v>Lu</v>
      </c>
      <c r="Q62" s="338">
        <f>IF(Q60="","",IF(MONTH(Q60)&lt;&gt;MONTH(Q60+1),"",Q60+1))</f>
        <v>44284</v>
      </c>
      <c r="R62" s="344" t="str">
        <f>IF(ISNA(VLOOKUP(Q62,TAB_FERIES_PURS,4,FALSE)),"",VLOOKUP(Q62,TAB_FERIES_PURS,4,FALSE))</f>
        <v/>
      </c>
      <c r="S62" s="338" t="str">
        <f>IF(MOD(MATCH(Q62,Calculs!$R$4:$R$93,1),2)=0,""," ")</f>
        <v/>
      </c>
      <c r="T62" s="338" t="str">
        <f>IF(MOD(MATCH(Q62,Calculs!$S$4:$S$93,1),2)=0,""," ")</f>
        <v/>
      </c>
      <c r="U62" s="347" t="str">
        <f>IF(MOD(MATCH(Q62,Calculs!$T$4:$T$93,1),2)=0,""," ")</f>
        <v/>
      </c>
      <c r="V62" s="339"/>
      <c r="W62" s="337" t="str">
        <f>IF(X62="","",VLOOKUP(WEEKDAY(X62,2),TAB_SEMAINE,2,FALSE))</f>
        <v>Je</v>
      </c>
      <c r="X62" s="338">
        <f>IF(X60="","",IF(MONTH(X60)&lt;&gt;MONTH(X60+1),"",X60+1))</f>
        <v>44315</v>
      </c>
      <c r="Y62" s="344" t="str">
        <f>IF(ISNA(VLOOKUP(X62,TAB_FERIES_PURS,4,FALSE)),"",VLOOKUP(X62,TAB_FERIES_PURS,4,FALSE))</f>
        <v/>
      </c>
      <c r="Z62" s="338" t="str">
        <f>IF(MOD(MATCH(X62,Calculs!$R$4:$R$93,1),2)=0,""," ")</f>
        <v/>
      </c>
      <c r="AA62" s="338" t="str">
        <f>IF(MOD(MATCH(X62,Calculs!$S$4:$S$93,1),2)=0,""," ")</f>
        <v xml:space="preserve"> </v>
      </c>
      <c r="AB62" s="347" t="str">
        <f>IF(MOD(MATCH(X62,Calculs!$T$4:$T$93,1),2)=0,""," ")</f>
        <v xml:space="preserve"> </v>
      </c>
      <c r="AC62" s="339"/>
      <c r="AD62" s="337" t="str">
        <f>IF(AE62="","",VLOOKUP(WEEKDAY(AE62,2),TAB_SEMAINE,2,FALSE))</f>
        <v>Sa</v>
      </c>
      <c r="AE62" s="338">
        <f>IF(AE60="","",IF(MONTH(AE60)&lt;&gt;MONTH(AE60+1),"",AE60+1))</f>
        <v>44345</v>
      </c>
      <c r="AF62" s="344" t="str">
        <f>IF(ISNA(VLOOKUP(AE62,TAB_FERIES_PURS,4,FALSE)),"",VLOOKUP(AE62,TAB_FERIES_PURS,4,FALSE))</f>
        <v/>
      </c>
      <c r="AG62" s="338" t="str">
        <f>IF(MOD(MATCH(AE62,Calculs!$R$4:$R$93,1),2)=0,""," ")</f>
        <v/>
      </c>
      <c r="AH62" s="338" t="str">
        <f>IF(MOD(MATCH(AE62,Calculs!$S$4:$S$93,1),2)=0,""," ")</f>
        <v/>
      </c>
      <c r="AI62" s="347" t="str">
        <f>IF(MOD(MATCH(AE62,Calculs!$T$4:$T$93,1),2)=0,""," ")</f>
        <v/>
      </c>
      <c r="AJ62" s="339"/>
      <c r="AK62" s="337" t="str">
        <f>IF(AL62="","",VLOOKUP(WEEKDAY(AL62,2),TAB_SEMAINE,2,FALSE))</f>
        <v>Ma</v>
      </c>
      <c r="AL62" s="338">
        <f>IF(AL60="","",IF(MONTH(AL60)&lt;&gt;MONTH(AL60+1),"",AL60+1))</f>
        <v>44376</v>
      </c>
      <c r="AM62" s="344" t="str">
        <f>IF(ISNA(VLOOKUP(AL62,TAB_FERIES_PURS,4,FALSE)),"",VLOOKUP(AL62,TAB_FERIES_PURS,4,FALSE))</f>
        <v/>
      </c>
      <c r="AN62" s="338" t="str">
        <f>IF(MOD(MATCH(AL62,Calculs!$R$4:$R$93,1),2)=0,""," ")</f>
        <v/>
      </c>
      <c r="AO62" s="338" t="str">
        <f>IF(MOD(MATCH(AL62,Calculs!$S$4:$S$93,1),2)=0,""," ")</f>
        <v/>
      </c>
      <c r="AP62" s="347" t="str">
        <f>IF(MOD(MATCH(AL62,Calculs!$T$4:$T$93,1),2)=0,""," ")</f>
        <v/>
      </c>
      <c r="AQ62" s="339"/>
      <c r="AR62" s="337" t="str">
        <f>IF(AS62="","",VLOOKUP(WEEKDAY(AS62,2),TAB_SEMAINE,2,FALSE))</f>
        <v>Je</v>
      </c>
      <c r="AS62" s="338">
        <f>IF(AS60="","",IF(MONTH(AS60)&lt;&gt;MONTH(AS60+1),"",AS60+1))</f>
        <v>44406</v>
      </c>
      <c r="AT62" s="344" t="str">
        <f>IF(ISNA(VLOOKUP(AS62,TAB_FERIES_PURS,4,FALSE)),"",VLOOKUP(AS62,TAB_FERIES_PURS,4,FALSE))</f>
        <v/>
      </c>
      <c r="AU62" s="338" t="str">
        <f>IF(MOD(MATCH(AS62,Calculs!$R$4:$R$93,1),2)=0,""," ")</f>
        <v xml:space="preserve"> </v>
      </c>
      <c r="AV62" s="338" t="str">
        <f>IF(MOD(MATCH(AS62,Calculs!$S$4:$S$93,1),2)=0,""," ")</f>
        <v xml:space="preserve"> </v>
      </c>
      <c r="AW62" s="347" t="str">
        <f>IF(MOD(MATCH(AS62,Calculs!$T$4:$T$93,1),2)=0,""," ")</f>
        <v xml:space="preserve"> </v>
      </c>
      <c r="AX62" s="339"/>
      <c r="AY62" s="337" t="str">
        <f>IF(AZ62="","",VLOOKUP(WEEKDAY(AZ62,2),TAB_SEMAINE,2,FALSE))</f>
        <v>Di</v>
      </c>
      <c r="AZ62" s="338">
        <f>IF(AZ60="","",IF(MONTH(AZ60)&lt;&gt;MONTH(AZ60+1),"",AZ60+1))</f>
        <v>44437</v>
      </c>
      <c r="BA62" s="344" t="str">
        <f>IF(ISNA(VLOOKUP(AZ62,TAB_FERIES_PURS,4,FALSE)),"",VLOOKUP(AZ62,TAB_FERIES_PURS,4,FALSE))</f>
        <v/>
      </c>
      <c r="BB62" s="338" t="str">
        <f>IF(MOD(MATCH(AZ62,Calculs!$R$4:$R$93,1),2)=0,""," ")</f>
        <v xml:space="preserve"> </v>
      </c>
      <c r="BC62" s="338" t="str">
        <f>IF(MOD(MATCH(AZ62,Calculs!$S$4:$S$93,1),2)=0,""," ")</f>
        <v xml:space="preserve"> </v>
      </c>
      <c r="BD62" s="347" t="str">
        <f>IF(MOD(MATCH(AZ62,Calculs!$T$4:$T$93,1),2)=0,""," ")</f>
        <v xml:space="preserve"> </v>
      </c>
      <c r="BE62" s="339"/>
      <c r="BF62" s="337" t="str">
        <f>IF(BG62="","",VLOOKUP(WEEKDAY(BG62,2),TAB_SEMAINE,2,FALSE))</f>
        <v>Me</v>
      </c>
      <c r="BG62" s="338">
        <f>IF(BG60="","",IF(MONTH(BG60)&lt;&gt;MONTH(BG60+1),"",BG60+1))</f>
        <v>44468</v>
      </c>
      <c r="BH62" s="344" t="str">
        <f>IF(ISNA(VLOOKUP(BG62,TAB_FERIES_PURS,4,FALSE)),"",VLOOKUP(BG62,TAB_FERIES_PURS,4,FALSE))</f>
        <v/>
      </c>
      <c r="BI62" s="338" t="str">
        <f>IF(MOD(MATCH(BG62,Calculs!$R$4:$R$93,1),2)=0,""," ")</f>
        <v/>
      </c>
      <c r="BJ62" s="338" t="str">
        <f>IF(MOD(MATCH(BG62,Calculs!$S$4:$S$93,1),2)=0,""," ")</f>
        <v/>
      </c>
      <c r="BK62" s="347" t="str">
        <f>IF(MOD(MATCH(BG62,Calculs!$T$4:$T$93,1),2)=0,""," ")</f>
        <v/>
      </c>
      <c r="BL62" s="339"/>
      <c r="BM62" s="337" t="str">
        <f>IF(BN62="","",VLOOKUP(WEEKDAY(BN62,2),TAB_SEMAINE,2,FALSE))</f>
        <v>Ve</v>
      </c>
      <c r="BN62" s="338">
        <f>IF(BN60="","",IF(MONTH(BN60)&lt;&gt;MONTH(BN60+1),"",BN60+1))</f>
        <v>44498</v>
      </c>
      <c r="BO62" s="344" t="str">
        <f>IF(ISNA(VLOOKUP(BN62,TAB_FERIES_PURS,4,FALSE)),"",VLOOKUP(BN62,TAB_FERIES_PURS,4,FALSE))</f>
        <v/>
      </c>
      <c r="BP62" s="338" t="str">
        <f>IF(MOD(MATCH(BN62,Calculs!$R$4:$R$93,1),2)=0,""," ")</f>
        <v xml:space="preserve"> </v>
      </c>
      <c r="BQ62" s="338" t="str">
        <f>IF(MOD(MATCH(BN62,Calculs!$S$4:$S$93,1),2)=0,""," ")</f>
        <v xml:space="preserve"> </v>
      </c>
      <c r="BR62" s="347" t="str">
        <f>IF(MOD(MATCH(BN62,Calculs!$T$4:$T$93,1),2)=0,""," ")</f>
        <v xml:space="preserve"> </v>
      </c>
      <c r="BS62" s="339"/>
      <c r="BT62" s="337" t="str">
        <f>IF(BU62="","",VLOOKUP(WEEKDAY(BU62,2),TAB_SEMAINE,2,FALSE))</f>
        <v>Lu</v>
      </c>
      <c r="BU62" s="338">
        <f>IF(BU60="","",IF(MONTH(BU60)&lt;&gt;MONTH(BU60+1),"",BU60+1))</f>
        <v>44529</v>
      </c>
      <c r="BV62" s="344" t="str">
        <f>IF(ISNA(VLOOKUP(BU62,TAB_FERIES_PURS,4,FALSE)),"",VLOOKUP(BU62,TAB_FERIES_PURS,4,FALSE))</f>
        <v/>
      </c>
      <c r="BW62" s="338" t="str">
        <f>IF(MOD(MATCH(BU62,Calculs!$R$4:$R$93,1),2)=0,""," ")</f>
        <v/>
      </c>
      <c r="BX62" s="338" t="str">
        <f>IF(MOD(MATCH(BU62,Calculs!$S$4:$S$93,1),2)=0,""," ")</f>
        <v/>
      </c>
      <c r="BY62" s="347" t="str">
        <f>IF(MOD(MATCH(BU62,Calculs!$T$4:$T$93,1),2)=0,""," ")</f>
        <v/>
      </c>
      <c r="BZ62" s="339"/>
      <c r="CA62" s="337" t="str">
        <f>IF(CB62="","",VLOOKUP(WEEKDAY(CB62,2),TAB_SEMAINE,2,FALSE))</f>
        <v>Me</v>
      </c>
      <c r="CB62" s="338">
        <f>IF(CB60="","",IF(MONTH(CB60)&lt;&gt;MONTH(CB60+1),"",CB60+1))</f>
        <v>44559</v>
      </c>
      <c r="CC62" s="344" t="str">
        <f>IF(ISNA(VLOOKUP(CB62,TAB_FERIES_PURS,4,FALSE)),"",VLOOKUP(CB62,TAB_FERIES_PURS,4,FALSE))</f>
        <v/>
      </c>
      <c r="CD62" s="338" t="str">
        <f>IF(MOD(MATCH(CB62,Calculs!$R$4:$R$93,1),2)=0,""," ")</f>
        <v xml:space="preserve"> </v>
      </c>
      <c r="CE62" s="338" t="str">
        <f>IF(MOD(MATCH(CB62,Calculs!$S$4:$S$93,1),2)=0,""," ")</f>
        <v xml:space="preserve"> </v>
      </c>
      <c r="CF62" s="347" t="str">
        <f>IF(MOD(MATCH(CB62,Calculs!$T$4:$T$93,1),2)=0,""," ")</f>
        <v xml:space="preserve"> </v>
      </c>
      <c r="CG62" s="360"/>
    </row>
    <row r="63" spans="1:85" s="345" customFormat="1" ht="4" customHeight="1" x14ac:dyDescent="0.15">
      <c r="A63" s="359"/>
      <c r="B63" s="337"/>
      <c r="C63" s="338"/>
      <c r="D63" s="340"/>
      <c r="E63" s="339"/>
      <c r="F63" s="339"/>
      <c r="G63" s="347"/>
      <c r="H63" s="339"/>
      <c r="I63" s="337"/>
      <c r="J63" s="338"/>
      <c r="K63" s="340"/>
      <c r="L63" s="339"/>
      <c r="M63" s="339"/>
      <c r="N63" s="347"/>
      <c r="O63" s="339"/>
      <c r="P63" s="337"/>
      <c r="Q63" s="338"/>
      <c r="R63" s="340"/>
      <c r="S63" s="339"/>
      <c r="T63" s="339"/>
      <c r="U63" s="347"/>
      <c r="V63" s="339"/>
      <c r="W63" s="337"/>
      <c r="X63" s="338"/>
      <c r="Y63" s="340"/>
      <c r="Z63" s="339"/>
      <c r="AA63" s="339"/>
      <c r="AB63" s="347"/>
      <c r="AC63" s="339"/>
      <c r="AD63" s="337"/>
      <c r="AE63" s="338"/>
      <c r="AF63" s="340"/>
      <c r="AG63" s="339"/>
      <c r="AH63" s="339"/>
      <c r="AI63" s="347"/>
      <c r="AJ63" s="339"/>
      <c r="AK63" s="337"/>
      <c r="AL63" s="338"/>
      <c r="AM63" s="340"/>
      <c r="AN63" s="339"/>
      <c r="AO63" s="339"/>
      <c r="AP63" s="347"/>
      <c r="AQ63" s="339"/>
      <c r="AR63" s="337"/>
      <c r="AS63" s="338"/>
      <c r="AT63" s="340"/>
      <c r="AU63" s="339"/>
      <c r="AV63" s="339"/>
      <c r="AW63" s="347"/>
      <c r="AX63" s="339"/>
      <c r="AY63" s="337"/>
      <c r="AZ63" s="338"/>
      <c r="BA63" s="340"/>
      <c r="BB63" s="339"/>
      <c r="BC63" s="339"/>
      <c r="BD63" s="347"/>
      <c r="BE63" s="339"/>
      <c r="BF63" s="337"/>
      <c r="BG63" s="338"/>
      <c r="BH63" s="340"/>
      <c r="BI63" s="339"/>
      <c r="BJ63" s="339"/>
      <c r="BK63" s="347"/>
      <c r="BL63" s="339"/>
      <c r="BM63" s="337"/>
      <c r="BN63" s="338"/>
      <c r="BO63" s="340"/>
      <c r="BP63" s="339"/>
      <c r="BQ63" s="339"/>
      <c r="BR63" s="347"/>
      <c r="BS63" s="339"/>
      <c r="BT63" s="337"/>
      <c r="BU63" s="338"/>
      <c r="BV63" s="340"/>
      <c r="BW63" s="339"/>
      <c r="BX63" s="339"/>
      <c r="BY63" s="347"/>
      <c r="BZ63" s="339"/>
      <c r="CA63" s="337"/>
      <c r="CB63" s="338"/>
      <c r="CC63" s="340"/>
      <c r="CD63" s="339"/>
      <c r="CE63" s="339"/>
      <c r="CF63" s="347"/>
      <c r="CG63" s="360"/>
    </row>
    <row r="64" spans="1:85" s="345" customFormat="1" ht="18" customHeight="1" x14ac:dyDescent="0.15">
      <c r="A64" s="359"/>
      <c r="B64" s="337" t="str">
        <f>IF(C64="","",VLOOKUP(WEEKDAY(C64,2),TAB_SEMAINE,2,FALSE))</f>
        <v>Sa</v>
      </c>
      <c r="C64" s="338">
        <f>IF(C62="","",IF(MONTH(C62)&lt;&gt;MONTH(C62+1),"",C62+1))</f>
        <v>44226</v>
      </c>
      <c r="D64" s="344" t="str">
        <f>IF(ISNA(VLOOKUP(C64,TAB_FERIES_PURS,4,FALSE)),"",VLOOKUP(C64,TAB_FERIES_PURS,4,FALSE))</f>
        <v/>
      </c>
      <c r="E64" s="338" t="str">
        <f>IF(MOD(MATCH(C64,Calculs!$R$4:$R$93,1),2)=0,""," ")</f>
        <v/>
      </c>
      <c r="F64" s="338" t="str">
        <f>IF(MOD(MATCH(C64,Calculs!$S$4:$S$93,1),2)=0,""," ")</f>
        <v/>
      </c>
      <c r="G64" s="347" t="str">
        <f>IF(MOD(MATCH(C64,Calculs!$T$4:$T$93,1),2)=0,""," ")</f>
        <v/>
      </c>
      <c r="H64" s="339"/>
      <c r="I64" s="337" t="str">
        <f>IF(J64="","",VLOOKUP(WEEKDAY(J64,2),TAB_SEMAINE,2,FALSE))</f>
        <v/>
      </c>
      <c r="J64" s="338" t="str">
        <f>IF(J62="","",IF(MONTH(J62)&lt;&gt;MONTH(J62+1),"",J62+1))</f>
        <v/>
      </c>
      <c r="K64" s="344" t="str">
        <f>IF(ISNA(VLOOKUP(J64,TAB_FERIES_PURS,4,FALSE)),"",VLOOKUP(J64,TAB_FERIES_PURS,4,FALSE))</f>
        <v/>
      </c>
      <c r="L64" s="338" t="e">
        <f>IF(MOD(MATCH(J64,Calculs!$R$4:$R$93,1),2)=0,""," ")</f>
        <v>#N/A</v>
      </c>
      <c r="M64" s="338" t="e">
        <f>IF(MOD(MATCH(J64,Calculs!$S$4:$S$93,1),2)=0,""," ")</f>
        <v>#N/A</v>
      </c>
      <c r="N64" s="347" t="e">
        <f>IF(MOD(MATCH(J64,Calculs!$T$4:$T$93,1),2)=0,""," ")</f>
        <v>#N/A</v>
      </c>
      <c r="O64" s="339"/>
      <c r="P64" s="337" t="str">
        <f>IF(Q64="","",VLOOKUP(WEEKDAY(Q64,2),TAB_SEMAINE,2,FALSE))</f>
        <v>Ma</v>
      </c>
      <c r="Q64" s="338">
        <f>IF(Q62="","",IF(MONTH(Q62)&lt;&gt;MONTH(Q62+1),"",Q62+1))</f>
        <v>44285</v>
      </c>
      <c r="R64" s="344" t="str">
        <f>IF(ISNA(VLOOKUP(Q64,TAB_FERIES_PURS,4,FALSE)),"",VLOOKUP(Q64,TAB_FERIES_PURS,4,FALSE))</f>
        <v/>
      </c>
      <c r="S64" s="338" t="str">
        <f>IF(MOD(MATCH(Q64,Calculs!$R$4:$R$93,1),2)=0,""," ")</f>
        <v/>
      </c>
      <c r="T64" s="338" t="str">
        <f>IF(MOD(MATCH(Q64,Calculs!$S$4:$S$93,1),2)=0,""," ")</f>
        <v/>
      </c>
      <c r="U64" s="347" t="str">
        <f>IF(MOD(MATCH(Q64,Calculs!$T$4:$T$93,1),2)=0,""," ")</f>
        <v/>
      </c>
      <c r="V64" s="339"/>
      <c r="W64" s="337" t="str">
        <f>IF(X64="","",VLOOKUP(WEEKDAY(X64,2),TAB_SEMAINE,2,FALSE))</f>
        <v>Ve</v>
      </c>
      <c r="X64" s="338">
        <f>IF(X62="","",IF(MONTH(X62)&lt;&gt;MONTH(X62+1),"",X62+1))</f>
        <v>44316</v>
      </c>
      <c r="Y64" s="344" t="str">
        <f>IF(ISNA(VLOOKUP(X64,TAB_FERIES_PURS,4,FALSE)),"",VLOOKUP(X64,TAB_FERIES_PURS,4,FALSE))</f>
        <v/>
      </c>
      <c r="Z64" s="338" t="str">
        <f>IF(MOD(MATCH(X64,Calculs!$R$4:$R$93,1),2)=0,""," ")</f>
        <v/>
      </c>
      <c r="AA64" s="338" t="str">
        <f>IF(MOD(MATCH(X64,Calculs!$S$4:$S$93,1),2)=0,""," ")</f>
        <v xml:space="preserve"> </v>
      </c>
      <c r="AB64" s="347" t="str">
        <f>IF(MOD(MATCH(X64,Calculs!$T$4:$T$93,1),2)=0,""," ")</f>
        <v xml:space="preserve"> </v>
      </c>
      <c r="AC64" s="339"/>
      <c r="AD64" s="337" t="str">
        <f>IF(AE64="","",VLOOKUP(WEEKDAY(AE64,2),TAB_SEMAINE,2,FALSE))</f>
        <v>Di</v>
      </c>
      <c r="AE64" s="338">
        <f>IF(AE62="","",IF(MONTH(AE62)&lt;&gt;MONTH(AE62+1),"",AE62+1))</f>
        <v>44346</v>
      </c>
      <c r="AF64" s="344" t="str">
        <f>IF(ISNA(VLOOKUP(AE64,TAB_FERIES_PURS,4,FALSE)),"",VLOOKUP(AE64,TAB_FERIES_PURS,4,FALSE))</f>
        <v/>
      </c>
      <c r="AG64" s="338" t="str">
        <f>IF(MOD(MATCH(AE64,Calculs!$R$4:$R$93,1),2)=0,""," ")</f>
        <v/>
      </c>
      <c r="AH64" s="338" t="str">
        <f>IF(MOD(MATCH(AE64,Calculs!$S$4:$S$93,1),2)=0,""," ")</f>
        <v/>
      </c>
      <c r="AI64" s="347" t="str">
        <f>IF(MOD(MATCH(AE64,Calculs!$T$4:$T$93,1),2)=0,""," ")</f>
        <v/>
      </c>
      <c r="AJ64" s="339"/>
      <c r="AK64" s="337" t="str">
        <f>IF(AL64="","",VLOOKUP(WEEKDAY(AL64,2),TAB_SEMAINE,2,FALSE))</f>
        <v>Me</v>
      </c>
      <c r="AL64" s="338">
        <f>IF(AL62="","",IF(MONTH(AL62)&lt;&gt;MONTH(AL62+1),"",AL62+1))</f>
        <v>44377</v>
      </c>
      <c r="AM64" s="344" t="str">
        <f>IF(ISNA(VLOOKUP(AL64,TAB_FERIES_PURS,4,FALSE)),"",VLOOKUP(AL64,TAB_FERIES_PURS,4,FALSE))</f>
        <v/>
      </c>
      <c r="AN64" s="338" t="str">
        <f>IF(MOD(MATCH(AL64,Calculs!$R$4:$R$93,1),2)=0,""," ")</f>
        <v/>
      </c>
      <c r="AO64" s="338" t="str">
        <f>IF(MOD(MATCH(AL64,Calculs!$S$4:$S$93,1),2)=0,""," ")</f>
        <v/>
      </c>
      <c r="AP64" s="347" t="str">
        <f>IF(MOD(MATCH(AL64,Calculs!$T$4:$T$93,1),2)=0,""," ")</f>
        <v/>
      </c>
      <c r="AQ64" s="339"/>
      <c r="AR64" s="337" t="str">
        <f>IF(AS64="","",VLOOKUP(WEEKDAY(AS64,2),TAB_SEMAINE,2,FALSE))</f>
        <v>Ve</v>
      </c>
      <c r="AS64" s="338">
        <f>IF(AS62="","",IF(MONTH(AS62)&lt;&gt;MONTH(AS62+1),"",AS62+1))</f>
        <v>44407</v>
      </c>
      <c r="AT64" s="344" t="str">
        <f>IF(ISNA(VLOOKUP(AS64,TAB_FERIES_PURS,4,FALSE)),"",VLOOKUP(AS64,TAB_FERIES_PURS,4,FALSE))</f>
        <v/>
      </c>
      <c r="AU64" s="338" t="str">
        <f>IF(MOD(MATCH(AS64,Calculs!$R$4:$R$93,1),2)=0,""," ")</f>
        <v xml:space="preserve"> </v>
      </c>
      <c r="AV64" s="338" t="str">
        <f>IF(MOD(MATCH(AS64,Calculs!$S$4:$S$93,1),2)=0,""," ")</f>
        <v xml:space="preserve"> </v>
      </c>
      <c r="AW64" s="347" t="str">
        <f>IF(MOD(MATCH(AS64,Calculs!$T$4:$T$93,1),2)=0,""," ")</f>
        <v xml:space="preserve"> </v>
      </c>
      <c r="AX64" s="339"/>
      <c r="AY64" s="337" t="str">
        <f>IF(AZ64="","",VLOOKUP(WEEKDAY(AZ64,2),TAB_SEMAINE,2,FALSE))</f>
        <v>Lu</v>
      </c>
      <c r="AZ64" s="338">
        <f>IF(AZ62="","",IF(MONTH(AZ62)&lt;&gt;MONTH(AZ62+1),"",AZ62+1))</f>
        <v>44438</v>
      </c>
      <c r="BA64" s="344" t="str">
        <f>IF(ISNA(VLOOKUP(AZ64,TAB_FERIES_PURS,4,FALSE)),"",VLOOKUP(AZ64,TAB_FERIES_PURS,4,FALSE))</f>
        <v/>
      </c>
      <c r="BB64" s="338" t="str">
        <f>IF(MOD(MATCH(AZ64,Calculs!$R$4:$R$93,1),2)=0,""," ")</f>
        <v xml:space="preserve"> </v>
      </c>
      <c r="BC64" s="338" t="str">
        <f>IF(MOD(MATCH(AZ64,Calculs!$S$4:$S$93,1),2)=0,""," ")</f>
        <v xml:space="preserve"> </v>
      </c>
      <c r="BD64" s="347" t="str">
        <f>IF(MOD(MATCH(AZ64,Calculs!$T$4:$T$93,1),2)=0,""," ")</f>
        <v xml:space="preserve"> </v>
      </c>
      <c r="BE64" s="339"/>
      <c r="BF64" s="337" t="str">
        <f>IF(BG64="","",VLOOKUP(WEEKDAY(BG64,2),TAB_SEMAINE,2,FALSE))</f>
        <v>Je</v>
      </c>
      <c r="BG64" s="338">
        <f>IF(BG62="","",IF(MONTH(BG62)&lt;&gt;MONTH(BG62+1),"",BG62+1))</f>
        <v>44469</v>
      </c>
      <c r="BH64" s="344" t="str">
        <f>IF(ISNA(VLOOKUP(BG64,TAB_FERIES_PURS,4,FALSE)),"",VLOOKUP(BG64,TAB_FERIES_PURS,4,FALSE))</f>
        <v/>
      </c>
      <c r="BI64" s="338" t="str">
        <f>IF(MOD(MATCH(BG64,Calculs!$R$4:$R$93,1),2)=0,""," ")</f>
        <v/>
      </c>
      <c r="BJ64" s="338" t="str">
        <f>IF(MOD(MATCH(BG64,Calculs!$S$4:$S$93,1),2)=0,""," ")</f>
        <v/>
      </c>
      <c r="BK64" s="347" t="str">
        <f>IF(MOD(MATCH(BG64,Calculs!$T$4:$T$93,1),2)=0,""," ")</f>
        <v/>
      </c>
      <c r="BL64" s="339"/>
      <c r="BM64" s="337" t="str">
        <f>IF(BN64="","",VLOOKUP(WEEKDAY(BN64,2),TAB_SEMAINE,2,FALSE))</f>
        <v>Sa</v>
      </c>
      <c r="BN64" s="338">
        <f>IF(BN62="","",IF(MONTH(BN62)&lt;&gt;MONTH(BN62+1),"",BN62+1))</f>
        <v>44499</v>
      </c>
      <c r="BO64" s="344" t="str">
        <f>IF(ISNA(VLOOKUP(BN64,TAB_FERIES_PURS,4,FALSE)),"",VLOOKUP(BN64,TAB_FERIES_PURS,4,FALSE))</f>
        <v/>
      </c>
      <c r="BP64" s="338" t="str">
        <f>IF(MOD(MATCH(BN64,Calculs!$R$4:$R$93,1),2)=0,""," ")</f>
        <v xml:space="preserve"> </v>
      </c>
      <c r="BQ64" s="338" t="str">
        <f>IF(MOD(MATCH(BN64,Calculs!$S$4:$S$93,1),2)=0,""," ")</f>
        <v xml:space="preserve"> </v>
      </c>
      <c r="BR64" s="347" t="str">
        <f>IF(MOD(MATCH(BN64,Calculs!$T$4:$T$93,1),2)=0,""," ")</f>
        <v xml:space="preserve"> </v>
      </c>
      <c r="BS64" s="339"/>
      <c r="BT64" s="337" t="str">
        <f>IF(BU64="","",VLOOKUP(WEEKDAY(BU64,2),TAB_SEMAINE,2,FALSE))</f>
        <v>Ma</v>
      </c>
      <c r="BU64" s="338">
        <f>IF(BU62="","",IF(MONTH(BU62)&lt;&gt;MONTH(BU62+1),"",BU62+1))</f>
        <v>44530</v>
      </c>
      <c r="BV64" s="344" t="str">
        <f>IF(ISNA(VLOOKUP(BU64,TAB_FERIES_PURS,4,FALSE)),"",VLOOKUP(BU64,TAB_FERIES_PURS,4,FALSE))</f>
        <v/>
      </c>
      <c r="BW64" s="338" t="str">
        <f>IF(MOD(MATCH(BU64,Calculs!$R$4:$R$93,1),2)=0,""," ")</f>
        <v/>
      </c>
      <c r="BX64" s="338" t="str">
        <f>IF(MOD(MATCH(BU64,Calculs!$S$4:$S$93,1),2)=0,""," ")</f>
        <v/>
      </c>
      <c r="BY64" s="347" t="str">
        <f>IF(MOD(MATCH(BU64,Calculs!$T$4:$T$93,1),2)=0,""," ")</f>
        <v/>
      </c>
      <c r="BZ64" s="339"/>
      <c r="CA64" s="337" t="str">
        <f>IF(CB64="","",VLOOKUP(WEEKDAY(CB64,2),TAB_SEMAINE,2,FALSE))</f>
        <v>Je</v>
      </c>
      <c r="CB64" s="338">
        <f>IF(CB62="","",IF(MONTH(CB62)&lt;&gt;MONTH(CB62+1),"",CB62+1))</f>
        <v>44560</v>
      </c>
      <c r="CC64" s="344" t="str">
        <f>IF(ISNA(VLOOKUP(CB64,TAB_FERIES_PURS,4,FALSE)),"",VLOOKUP(CB64,TAB_FERIES_PURS,4,FALSE))</f>
        <v/>
      </c>
      <c r="CD64" s="338" t="str">
        <f>IF(MOD(MATCH(CB64,Calculs!$R$4:$R$93,1),2)=0,""," ")</f>
        <v xml:space="preserve"> </v>
      </c>
      <c r="CE64" s="338" t="str">
        <f>IF(MOD(MATCH(CB64,Calculs!$S$4:$S$93,1),2)=0,""," ")</f>
        <v xml:space="preserve"> </v>
      </c>
      <c r="CF64" s="347" t="str">
        <f>IF(MOD(MATCH(CB64,Calculs!$T$4:$T$93,1),2)=0,""," ")</f>
        <v xml:space="preserve"> </v>
      </c>
      <c r="CG64" s="360"/>
    </row>
    <row r="65" spans="1:85" s="345" customFormat="1" ht="4" customHeight="1" x14ac:dyDescent="0.15">
      <c r="A65" s="359"/>
      <c r="B65" s="337"/>
      <c r="C65" s="338"/>
      <c r="D65" s="340"/>
      <c r="E65" s="339"/>
      <c r="F65" s="339"/>
      <c r="G65" s="347"/>
      <c r="H65" s="339"/>
      <c r="I65" s="337"/>
      <c r="J65" s="338"/>
      <c r="K65" s="340"/>
      <c r="L65" s="339"/>
      <c r="M65" s="339"/>
      <c r="N65" s="347"/>
      <c r="O65" s="339"/>
      <c r="P65" s="337"/>
      <c r="Q65" s="338"/>
      <c r="R65" s="340"/>
      <c r="S65" s="339"/>
      <c r="T65" s="339"/>
      <c r="U65" s="347"/>
      <c r="V65" s="339"/>
      <c r="W65" s="337"/>
      <c r="X65" s="338"/>
      <c r="Y65" s="340"/>
      <c r="Z65" s="339"/>
      <c r="AA65" s="339"/>
      <c r="AB65" s="347"/>
      <c r="AC65" s="339"/>
      <c r="AD65" s="337"/>
      <c r="AE65" s="338"/>
      <c r="AF65" s="340"/>
      <c r="AG65" s="339"/>
      <c r="AH65" s="339"/>
      <c r="AI65" s="347"/>
      <c r="AJ65" s="339"/>
      <c r="AK65" s="337"/>
      <c r="AL65" s="338"/>
      <c r="AM65" s="340"/>
      <c r="AN65" s="339"/>
      <c r="AO65" s="339"/>
      <c r="AP65" s="347"/>
      <c r="AQ65" s="339"/>
      <c r="AR65" s="337"/>
      <c r="AS65" s="338"/>
      <c r="AT65" s="340"/>
      <c r="AU65" s="339"/>
      <c r="AV65" s="339"/>
      <c r="AW65" s="347"/>
      <c r="AX65" s="339"/>
      <c r="AY65" s="337"/>
      <c r="AZ65" s="338"/>
      <c r="BA65" s="340"/>
      <c r="BB65" s="339"/>
      <c r="BC65" s="339"/>
      <c r="BD65" s="347"/>
      <c r="BE65" s="339"/>
      <c r="BF65" s="337"/>
      <c r="BG65" s="338"/>
      <c r="BH65" s="340"/>
      <c r="BI65" s="339"/>
      <c r="BJ65" s="339"/>
      <c r="BK65" s="347"/>
      <c r="BL65" s="339"/>
      <c r="BM65" s="337"/>
      <c r="BN65" s="338"/>
      <c r="BO65" s="340"/>
      <c r="BP65" s="339"/>
      <c r="BQ65" s="339"/>
      <c r="BR65" s="347"/>
      <c r="BS65" s="339"/>
      <c r="BT65" s="337"/>
      <c r="BU65" s="338"/>
      <c r="BV65" s="340"/>
      <c r="BW65" s="339"/>
      <c r="BX65" s="339"/>
      <c r="BY65" s="347"/>
      <c r="BZ65" s="339"/>
      <c r="CA65" s="337"/>
      <c r="CB65" s="338"/>
      <c r="CC65" s="340"/>
      <c r="CD65" s="339"/>
      <c r="CE65" s="339"/>
      <c r="CF65" s="347"/>
      <c r="CG65" s="360"/>
    </row>
    <row r="66" spans="1:85" s="345" customFormat="1" ht="18" customHeight="1" x14ac:dyDescent="0.15">
      <c r="A66" s="359"/>
      <c r="B66" s="337" t="str">
        <f>IF(C66="","",VLOOKUP(WEEKDAY(C66,2),TAB_SEMAINE,2,FALSE))</f>
        <v>Di</v>
      </c>
      <c r="C66" s="338">
        <f>IF(C64="","",IF(MONTH(C64)&lt;&gt;MONTH(C64+1),"",C64+1))</f>
        <v>44227</v>
      </c>
      <c r="D66" s="344" t="str">
        <f>IF(ISNA(VLOOKUP(C66,TAB_FERIES_PURS,4,FALSE)),"",VLOOKUP(C66,TAB_FERIES_PURS,4,FALSE))</f>
        <v/>
      </c>
      <c r="E66" s="338" t="str">
        <f>IF(MOD(MATCH(C66,Calculs!$R$4:$R$93,1),2)=0,""," ")</f>
        <v/>
      </c>
      <c r="F66" s="338" t="str">
        <f>IF(MOD(MATCH(C66,Calculs!$S$4:$S$93,1),2)=0,""," ")</f>
        <v/>
      </c>
      <c r="G66" s="347" t="str">
        <f>IF(MOD(MATCH(C66,Calculs!$T$4:$T$93,1),2)=0,""," ")</f>
        <v/>
      </c>
      <c r="H66" s="339"/>
      <c r="I66" s="337" t="str">
        <f>IF(J66="","",VLOOKUP(WEEKDAY(J66,2),TAB_SEMAINE,2,FALSE))</f>
        <v/>
      </c>
      <c r="J66" s="338" t="str">
        <f>IF(J64="","",IF(MONTH(J64)&lt;&gt;MONTH(J64+1),"",J64+1))</f>
        <v/>
      </c>
      <c r="K66" s="344" t="str">
        <f>IF(ISNA(VLOOKUP(J66,TAB_FERIES_PURS,4,FALSE)),"",VLOOKUP(J66,TAB_FERIES_PURS,4,FALSE))</f>
        <v/>
      </c>
      <c r="L66" s="338" t="e">
        <f>IF(MOD(MATCH(J66,Calculs!$R$4:$R$93,1),2)=0,""," ")</f>
        <v>#N/A</v>
      </c>
      <c r="M66" s="338" t="e">
        <f>IF(MOD(MATCH(J66,Calculs!$S$4:$S$93,1),2)=0,""," ")</f>
        <v>#N/A</v>
      </c>
      <c r="N66" s="347" t="e">
        <f>IF(MOD(MATCH(J66,Calculs!$T$4:$T$93,1),2)=0,""," ")</f>
        <v>#N/A</v>
      </c>
      <c r="O66" s="339"/>
      <c r="P66" s="337" t="str">
        <f>IF(Q66="","",VLOOKUP(WEEKDAY(Q66,2),TAB_SEMAINE,2,FALSE))</f>
        <v>Me</v>
      </c>
      <c r="Q66" s="338">
        <f>IF(Q64="","",IF(MONTH(Q64)&lt;&gt;MONTH(Q64+1),"",Q64+1))</f>
        <v>44286</v>
      </c>
      <c r="R66" s="344" t="str">
        <f>IF(ISNA(VLOOKUP(Q66,TAB_FERIES_PURS,4,FALSE)),"",VLOOKUP(Q66,TAB_FERIES_PURS,4,FALSE))</f>
        <v/>
      </c>
      <c r="S66" s="338" t="str">
        <f>IF(MOD(MATCH(Q66,Calculs!$R$4:$R$93,1),2)=0,""," ")</f>
        <v/>
      </c>
      <c r="T66" s="338" t="str">
        <f>IF(MOD(MATCH(Q66,Calculs!$S$4:$S$93,1),2)=0,""," ")</f>
        <v/>
      </c>
      <c r="U66" s="347" t="str">
        <f>IF(MOD(MATCH(Q66,Calculs!$T$4:$T$93,1),2)=0,""," ")</f>
        <v/>
      </c>
      <c r="V66" s="339"/>
      <c r="W66" s="337" t="str">
        <f>IF(X66="","",VLOOKUP(WEEKDAY(X66,2),TAB_SEMAINE,2,FALSE))</f>
        <v/>
      </c>
      <c r="X66" s="338" t="str">
        <f>IF(X64="","",IF(MONTH(X64)&lt;&gt;MONTH(X64+1),"",X64+1))</f>
        <v/>
      </c>
      <c r="Y66" s="344" t="str">
        <f>IF(ISNA(VLOOKUP(X66,TAB_FERIES_PURS,4,FALSE)),"",VLOOKUP(X66,TAB_FERIES_PURS,4,FALSE))</f>
        <v/>
      </c>
      <c r="Z66" s="338" t="e">
        <f>IF(MOD(MATCH(X66,Calculs!$R$4:$R$93,1),2)=0,""," ")</f>
        <v>#N/A</v>
      </c>
      <c r="AA66" s="338" t="e">
        <f>IF(MOD(MATCH(X66,Calculs!$S$4:$S$93,1),2)=0,""," ")</f>
        <v>#N/A</v>
      </c>
      <c r="AB66" s="347" t="e">
        <f>IF(MOD(MATCH(X66,Calculs!$T$4:$T$93,1),2)=0,""," ")</f>
        <v>#N/A</v>
      </c>
      <c r="AC66" s="339"/>
      <c r="AD66" s="337" t="str">
        <f>IF(AE66="","",VLOOKUP(WEEKDAY(AE66,2),TAB_SEMAINE,2,FALSE))</f>
        <v>Lu</v>
      </c>
      <c r="AE66" s="338">
        <f>IF(AE64="","",IF(MONTH(AE64)&lt;&gt;MONTH(AE64+1),"",AE64+1))</f>
        <v>44347</v>
      </c>
      <c r="AF66" s="344" t="str">
        <f>IF(ISNA(VLOOKUP(AE66,TAB_FERIES_PURS,4,FALSE)),"",VLOOKUP(AE66,TAB_FERIES_PURS,4,FALSE))</f>
        <v/>
      </c>
      <c r="AG66" s="338" t="str">
        <f>IF(MOD(MATCH(AE66,Calculs!$R$4:$R$93,1),2)=0,""," ")</f>
        <v/>
      </c>
      <c r="AH66" s="338" t="str">
        <f>IF(MOD(MATCH(AE66,Calculs!$S$4:$S$93,1),2)=0,""," ")</f>
        <v/>
      </c>
      <c r="AI66" s="347" t="str">
        <f>IF(MOD(MATCH(AE66,Calculs!$T$4:$T$93,1),2)=0,""," ")</f>
        <v/>
      </c>
      <c r="AJ66" s="339"/>
      <c r="AK66" s="337" t="str">
        <f>IF(AL66="","",VLOOKUP(WEEKDAY(AL66,2),TAB_SEMAINE,2,FALSE))</f>
        <v/>
      </c>
      <c r="AL66" s="338" t="str">
        <f>IF(AL64="","",IF(MONTH(AL64)&lt;&gt;MONTH(AL64+1),"",AL64+1))</f>
        <v/>
      </c>
      <c r="AM66" s="344" t="str">
        <f>IF(ISNA(VLOOKUP(AL66,TAB_FERIES_PURS,4,FALSE)),"",VLOOKUP(AL66,TAB_FERIES_PURS,4,FALSE))</f>
        <v/>
      </c>
      <c r="AN66" s="338" t="e">
        <f>IF(MOD(MATCH(AL66,Calculs!$R$4:$R$93,1),2)=0,""," ")</f>
        <v>#N/A</v>
      </c>
      <c r="AO66" s="338" t="e">
        <f>IF(MOD(MATCH(AL66,Calculs!$S$4:$S$93,1),2)=0,""," ")</f>
        <v>#N/A</v>
      </c>
      <c r="AP66" s="347" t="e">
        <f>IF(MOD(MATCH(AL66,Calculs!$T$4:$T$93,1),2)=0,""," ")</f>
        <v>#N/A</v>
      </c>
      <c r="AQ66" s="339"/>
      <c r="AR66" s="337" t="str">
        <f>IF(AS66="","",VLOOKUP(WEEKDAY(AS66,2),TAB_SEMAINE,2,FALSE))</f>
        <v>Sa</v>
      </c>
      <c r="AS66" s="338">
        <f>IF(AS64="","",IF(MONTH(AS64)&lt;&gt;MONTH(AS64+1),"",AS64+1))</f>
        <v>44408</v>
      </c>
      <c r="AT66" s="344" t="str">
        <f>IF(ISNA(VLOOKUP(AS66,TAB_FERIES_PURS,4,FALSE)),"",VLOOKUP(AS66,TAB_FERIES_PURS,4,FALSE))</f>
        <v/>
      </c>
      <c r="AU66" s="338" t="str">
        <f>IF(MOD(MATCH(AS66,Calculs!$R$4:$R$93,1),2)=0,""," ")</f>
        <v xml:space="preserve"> </v>
      </c>
      <c r="AV66" s="338" t="str">
        <f>IF(MOD(MATCH(AS66,Calculs!$S$4:$S$93,1),2)=0,""," ")</f>
        <v xml:space="preserve"> </v>
      </c>
      <c r="AW66" s="347" t="str">
        <f>IF(MOD(MATCH(AS66,Calculs!$T$4:$T$93,1),2)=0,""," ")</f>
        <v xml:space="preserve"> </v>
      </c>
      <c r="AX66" s="339"/>
      <c r="AY66" s="337" t="str">
        <f>IF(AZ66="","",VLOOKUP(WEEKDAY(AZ66,2),TAB_SEMAINE,2,FALSE))</f>
        <v>Ma</v>
      </c>
      <c r="AZ66" s="338">
        <f>IF(AZ64="","",IF(MONTH(AZ64)&lt;&gt;MONTH(AZ64+1),"",AZ64+1))</f>
        <v>44439</v>
      </c>
      <c r="BA66" s="344" t="str">
        <f>IF(ISNA(VLOOKUP(AZ66,TAB_FERIES_PURS,4,FALSE)),"",VLOOKUP(AZ66,TAB_FERIES_PURS,4,FALSE))</f>
        <v/>
      </c>
      <c r="BB66" s="338" t="str">
        <f>IF(MOD(MATCH(AZ66,Calculs!$R$4:$R$93,1),2)=0,""," ")</f>
        <v xml:space="preserve"> </v>
      </c>
      <c r="BC66" s="338" t="str">
        <f>IF(MOD(MATCH(AZ66,Calculs!$S$4:$S$93,1),2)=0,""," ")</f>
        <v xml:space="preserve"> </v>
      </c>
      <c r="BD66" s="347" t="str">
        <f>IF(MOD(MATCH(AZ66,Calculs!$T$4:$T$93,1),2)=0,""," ")</f>
        <v xml:space="preserve"> </v>
      </c>
      <c r="BE66" s="339"/>
      <c r="BF66" s="337" t="str">
        <f>IF(BG66="","",VLOOKUP(WEEKDAY(BG66,2),TAB_SEMAINE,2,FALSE))</f>
        <v/>
      </c>
      <c r="BG66" s="338" t="str">
        <f>IF(BG64="","",IF(MONTH(BG64)&lt;&gt;MONTH(BG64+1),"",BG64+1))</f>
        <v/>
      </c>
      <c r="BH66" s="344" t="str">
        <f>IF(ISNA(VLOOKUP(BG66,TAB_FERIES_PURS,4,FALSE)),"",VLOOKUP(BG66,TAB_FERIES_PURS,4,FALSE))</f>
        <v/>
      </c>
      <c r="BI66" s="338" t="e">
        <f>IF(MOD(MATCH(BG66,Calculs!$R$4:$R$93,1),2)=0,""," ")</f>
        <v>#N/A</v>
      </c>
      <c r="BJ66" s="338" t="e">
        <f>IF(MOD(MATCH(BG66,Calculs!$S$4:$S$93,1),2)=0,""," ")</f>
        <v>#N/A</v>
      </c>
      <c r="BK66" s="347" t="e">
        <f>IF(MOD(MATCH(BG66,Calculs!$T$4:$T$93,1),2)=0,""," ")</f>
        <v>#N/A</v>
      </c>
      <c r="BL66" s="339"/>
      <c r="BM66" s="337" t="str">
        <f>IF(BN66="","",VLOOKUP(WEEKDAY(BN66,2),TAB_SEMAINE,2,FALSE))</f>
        <v>Di</v>
      </c>
      <c r="BN66" s="338">
        <f>IF(BN64="","",IF(MONTH(BN64)&lt;&gt;MONTH(BN64+1),"",BN64+1))</f>
        <v>44500</v>
      </c>
      <c r="BO66" s="344" t="str">
        <f>IF(ISNA(VLOOKUP(BN66,TAB_FERIES_PURS,4,FALSE)),"",VLOOKUP(BN66,TAB_FERIES_PURS,4,FALSE))</f>
        <v>F</v>
      </c>
      <c r="BP66" s="338" t="str">
        <f>IF(MOD(MATCH(BN66,Calculs!$R$4:$R$93,1),2)=0,""," ")</f>
        <v xml:space="preserve"> </v>
      </c>
      <c r="BQ66" s="338" t="str">
        <f>IF(MOD(MATCH(BN66,Calculs!$S$4:$S$93,1),2)=0,""," ")</f>
        <v xml:space="preserve"> </v>
      </c>
      <c r="BR66" s="347" t="str">
        <f>IF(MOD(MATCH(BN66,Calculs!$T$4:$T$93,1),2)=0,""," ")</f>
        <v xml:space="preserve"> </v>
      </c>
      <c r="BS66" s="339"/>
      <c r="BT66" s="337" t="str">
        <f>IF(BU66="","",VLOOKUP(WEEKDAY(BU66,2),TAB_SEMAINE,2,FALSE))</f>
        <v/>
      </c>
      <c r="BU66" s="338" t="str">
        <f>IF(BU64="","",IF(MONTH(BU64)&lt;&gt;MONTH(BU64+1),"",BU64+1))</f>
        <v/>
      </c>
      <c r="BV66" s="344" t="str">
        <f>IF(ISNA(VLOOKUP(BU66,TAB_FERIES_PURS,4,FALSE)),"",VLOOKUP(BU66,TAB_FERIES_PURS,4,FALSE))</f>
        <v/>
      </c>
      <c r="BW66" s="338" t="e">
        <f>IF(MOD(MATCH(BU66,Calculs!$R$4:$R$93,1),2)=0,""," ")</f>
        <v>#N/A</v>
      </c>
      <c r="BX66" s="338" t="e">
        <f>IF(MOD(MATCH(BU66,Calculs!$S$4:$S$93,1),2)=0,""," ")</f>
        <v>#N/A</v>
      </c>
      <c r="BY66" s="347" t="e">
        <f>IF(MOD(MATCH(BU66,Calculs!$T$4:$T$93,1),2)=0,""," ")</f>
        <v>#N/A</v>
      </c>
      <c r="BZ66" s="339"/>
      <c r="CA66" s="337" t="str">
        <f>IF(CB66="","",VLOOKUP(WEEKDAY(CB66,2),TAB_SEMAINE,2,FALSE))</f>
        <v>Ve</v>
      </c>
      <c r="CB66" s="338">
        <f>IF(CB64="","",IF(MONTH(CB64)&lt;&gt;MONTH(CB64+1),"",CB64+1))</f>
        <v>44561</v>
      </c>
      <c r="CC66" s="344" t="str">
        <f>IF(ISNA(VLOOKUP(CB66,TAB_FERIES_PURS,4,FALSE)),"",VLOOKUP(CB66,TAB_FERIES_PURS,4,FALSE))</f>
        <v/>
      </c>
      <c r="CD66" s="338" t="str">
        <f>IF(MOD(MATCH(CB66,Calculs!$R$4:$R$93,1),2)=0,""," ")</f>
        <v xml:space="preserve"> </v>
      </c>
      <c r="CE66" s="338" t="str">
        <f>IF(MOD(MATCH(CB66,Calculs!$S$4:$S$93,1),2)=0,""," ")</f>
        <v xml:space="preserve"> </v>
      </c>
      <c r="CF66" s="347" t="str">
        <f>IF(MOD(MATCH(CB66,Calculs!$T$4:$T$93,1),2)=0,""," ")</f>
        <v xml:space="preserve"> </v>
      </c>
      <c r="CG66" s="360"/>
    </row>
    <row r="67" spans="1:85" s="346" customFormat="1" ht="6" customHeight="1" x14ac:dyDescent="0.15">
      <c r="A67" s="361"/>
      <c r="B67" s="45"/>
      <c r="C67" s="46"/>
      <c r="D67" s="49"/>
      <c r="E67" s="48"/>
      <c r="F67" s="48"/>
      <c r="G67" s="51"/>
      <c r="H67" s="50"/>
      <c r="I67" s="45"/>
      <c r="J67" s="46"/>
      <c r="K67" s="49"/>
      <c r="L67" s="48"/>
      <c r="M67" s="48"/>
      <c r="N67" s="51"/>
      <c r="O67" s="50"/>
      <c r="P67" s="161"/>
      <c r="Q67" s="162"/>
      <c r="R67" s="49"/>
      <c r="S67" s="48"/>
      <c r="T67" s="48"/>
      <c r="U67" s="51"/>
      <c r="V67" s="50"/>
      <c r="W67" s="45"/>
      <c r="X67" s="46"/>
      <c r="Y67" s="49"/>
      <c r="Z67" s="48"/>
      <c r="AA67" s="48"/>
      <c r="AB67" s="51"/>
      <c r="AC67" s="50"/>
      <c r="AD67" s="45"/>
      <c r="AE67" s="46"/>
      <c r="AF67" s="49"/>
      <c r="AG67" s="48"/>
      <c r="AH67" s="48"/>
      <c r="AI67" s="51"/>
      <c r="AJ67" s="50"/>
      <c r="AK67" s="45"/>
      <c r="AL67" s="46"/>
      <c r="AM67" s="49"/>
      <c r="AN67" s="48"/>
      <c r="AO67" s="48"/>
      <c r="AP67" s="51"/>
      <c r="AQ67" s="44"/>
      <c r="AR67" s="45"/>
      <c r="AS67" s="46"/>
      <c r="AT67" s="49"/>
      <c r="AU67" s="48"/>
      <c r="AV67" s="48"/>
      <c r="AW67" s="51"/>
      <c r="AX67" s="50"/>
      <c r="AY67" s="45"/>
      <c r="AZ67" s="46"/>
      <c r="BA67" s="49"/>
      <c r="BB67" s="48"/>
      <c r="BC67" s="48"/>
      <c r="BD67" s="51"/>
      <c r="BE67" s="50"/>
      <c r="BF67" s="45"/>
      <c r="BG67" s="46"/>
      <c r="BH67" s="49"/>
      <c r="BI67" s="48"/>
      <c r="BJ67" s="48"/>
      <c r="BK67" s="51"/>
      <c r="BL67" s="50"/>
      <c r="BM67" s="45"/>
      <c r="BN67" s="46"/>
      <c r="BO67" s="49"/>
      <c r="BP67" s="48"/>
      <c r="BQ67" s="48"/>
      <c r="BR67" s="51"/>
      <c r="BS67" s="50"/>
      <c r="BT67" s="45"/>
      <c r="BU67" s="46"/>
      <c r="BV67" s="49"/>
      <c r="BW67" s="48"/>
      <c r="BX67" s="48"/>
      <c r="BY67" s="51"/>
      <c r="BZ67" s="50"/>
      <c r="CA67" s="45"/>
      <c r="CB67" s="46"/>
      <c r="CC67" s="49"/>
      <c r="CD67" s="48"/>
      <c r="CE67" s="48"/>
      <c r="CF67" s="51"/>
      <c r="CG67" s="362"/>
    </row>
    <row r="68" spans="1:85" x14ac:dyDescent="0.2">
      <c r="A68" s="355"/>
      <c r="B68" s="553" t="s">
        <v>517</v>
      </c>
      <c r="C68" s="553"/>
      <c r="D68" s="553"/>
      <c r="E68" s="553"/>
      <c r="F68" s="553"/>
      <c r="G68" s="554"/>
      <c r="H68" s="32"/>
      <c r="I68" s="386" t="str">
        <f>IF(OR(B68="Zone A",B68="Zone B",B68="Zone C"),VLOOKUP(B68,Calculs!R95:S97,2,FALSE),IF(B68="Choix ?","",IF(B68="Réserve","Choix incorrect",B68)))</f>
        <v>Académies de Besançon, Bordeaux, Clermont-Ferrand, Dijon, Grenoble, Limoges, Lyon, Poitiers</v>
      </c>
      <c r="J68" s="33"/>
      <c r="K68" s="334"/>
      <c r="L68" s="35"/>
      <c r="M68" s="35"/>
      <c r="N68" s="36"/>
      <c r="O68" s="32"/>
      <c r="P68" s="33"/>
      <c r="Q68" s="33"/>
      <c r="R68" s="334"/>
      <c r="S68" s="35"/>
      <c r="T68" s="35"/>
      <c r="U68" s="36"/>
      <c r="V68" s="32"/>
      <c r="W68" s="33"/>
      <c r="X68" s="33"/>
      <c r="Y68" s="334"/>
      <c r="Z68" s="35"/>
      <c r="AA68" s="35"/>
      <c r="AB68" s="36"/>
      <c r="AC68" s="32"/>
      <c r="AD68" s="33"/>
      <c r="AE68" s="33"/>
      <c r="AF68" s="334"/>
      <c r="AG68" s="35"/>
      <c r="AH68" s="35"/>
      <c r="AI68" s="36"/>
      <c r="AJ68" s="32"/>
      <c r="AK68" s="33"/>
      <c r="AL68" s="33"/>
      <c r="AM68" s="334"/>
      <c r="AN68" s="35"/>
      <c r="AO68" s="35"/>
      <c r="AP68" s="36"/>
      <c r="AQ68" s="32"/>
      <c r="AR68" s="33"/>
      <c r="AS68" s="33"/>
      <c r="AT68" s="334"/>
      <c r="AU68" s="35"/>
      <c r="AV68" s="35"/>
      <c r="AW68" s="36"/>
      <c r="AX68" s="32"/>
      <c r="AY68" s="33"/>
      <c r="AZ68" s="33"/>
      <c r="BA68" s="334"/>
      <c r="BB68" s="35"/>
      <c r="BC68" s="35"/>
      <c r="BD68" s="36"/>
      <c r="BE68" s="32"/>
      <c r="BF68" s="33"/>
      <c r="BG68" s="33"/>
      <c r="BH68" s="334"/>
      <c r="BI68" s="35"/>
      <c r="BJ68" s="35"/>
      <c r="BK68" s="36"/>
      <c r="BL68" s="32"/>
      <c r="BM68" s="33"/>
      <c r="BN68" s="33"/>
      <c r="BO68" s="334"/>
      <c r="BP68" s="35"/>
      <c r="BQ68" s="35"/>
      <c r="BR68" s="36"/>
      <c r="BS68" s="32"/>
      <c r="BT68" s="33"/>
      <c r="BU68" s="33"/>
      <c r="BV68" s="334"/>
      <c r="BW68" s="35"/>
      <c r="BX68" s="35"/>
      <c r="BY68" s="36"/>
      <c r="BZ68" s="32"/>
      <c r="CA68" s="33"/>
      <c r="CB68" s="33"/>
      <c r="CC68" s="334"/>
      <c r="CD68" s="35"/>
      <c r="CE68" s="35"/>
      <c r="CF68" s="36"/>
      <c r="CG68" s="356"/>
    </row>
    <row r="69" spans="1:85" ht="3" customHeight="1" x14ac:dyDescent="0.2">
      <c r="A69" s="355"/>
      <c r="B69" s="386"/>
      <c r="C69" s="386"/>
      <c r="D69" s="386"/>
      <c r="E69" s="386"/>
      <c r="F69" s="386"/>
      <c r="G69" s="386"/>
      <c r="H69" s="32"/>
      <c r="I69" s="386"/>
      <c r="J69" s="33"/>
      <c r="K69" s="334"/>
      <c r="L69" s="35"/>
      <c r="M69" s="35"/>
      <c r="N69" s="36"/>
      <c r="O69" s="32"/>
      <c r="P69" s="33"/>
      <c r="Q69" s="33"/>
      <c r="R69" s="334"/>
      <c r="S69" s="35"/>
      <c r="T69" s="35"/>
      <c r="U69" s="36"/>
      <c r="V69" s="32"/>
      <c r="W69" s="33"/>
      <c r="X69" s="33"/>
      <c r="Y69" s="334"/>
      <c r="Z69" s="35"/>
      <c r="AA69" s="35"/>
      <c r="AB69" s="36"/>
      <c r="AC69" s="32"/>
      <c r="AD69" s="33"/>
      <c r="AE69" s="33"/>
      <c r="AF69" s="334"/>
      <c r="AG69" s="35"/>
      <c r="AH69" s="35"/>
      <c r="AI69" s="36"/>
      <c r="AJ69" s="32"/>
      <c r="AK69" s="33"/>
      <c r="AL69" s="33"/>
      <c r="AM69" s="334"/>
      <c r="AN69" s="35"/>
      <c r="AO69" s="35"/>
      <c r="AP69" s="36"/>
      <c r="AQ69" s="32"/>
      <c r="AR69" s="33"/>
      <c r="AS69" s="33"/>
      <c r="AT69" s="334"/>
      <c r="AU69" s="35"/>
      <c r="AV69" s="35"/>
      <c r="AW69" s="36"/>
      <c r="AX69" s="32"/>
      <c r="AY69" s="33"/>
      <c r="AZ69" s="33"/>
      <c r="BA69" s="334"/>
      <c r="BB69" s="35"/>
      <c r="BC69" s="35"/>
      <c r="BD69" s="36"/>
      <c r="BE69" s="32"/>
      <c r="BF69" s="33"/>
      <c r="BG69" s="33"/>
      <c r="BH69" s="334"/>
      <c r="BI69" s="35"/>
      <c r="BJ69" s="35"/>
      <c r="BK69" s="36"/>
      <c r="BL69" s="32"/>
      <c r="BM69" s="33"/>
      <c r="BN69" s="33"/>
      <c r="BO69" s="334"/>
      <c r="BP69" s="35"/>
      <c r="BQ69" s="35"/>
      <c r="BR69" s="36"/>
      <c r="BS69" s="32"/>
      <c r="BT69" s="33"/>
      <c r="BU69" s="33"/>
      <c r="BV69" s="334"/>
      <c r="BW69" s="35"/>
      <c r="BX69" s="35"/>
      <c r="BY69" s="36"/>
      <c r="BZ69" s="32"/>
      <c r="CA69" s="33"/>
      <c r="CB69" s="33"/>
      <c r="CC69" s="334"/>
      <c r="CD69" s="35"/>
      <c r="CE69" s="35"/>
      <c r="CF69" s="36"/>
      <c r="CG69" s="356"/>
    </row>
    <row r="70" spans="1:85" x14ac:dyDescent="0.2">
      <c r="A70" s="355"/>
      <c r="B70" s="555" t="s">
        <v>518</v>
      </c>
      <c r="C70" s="555"/>
      <c r="D70" s="555"/>
      <c r="E70" s="555"/>
      <c r="F70" s="555"/>
      <c r="G70" s="556"/>
      <c r="H70" s="32"/>
      <c r="I70" s="386" t="str">
        <f>IF(OR(B70="Zone A",B70="Zone B",B70="Zone C"),VLOOKUP(B70,Calculs!R95:S97,2,FALSE),IF(B70="Choix ?","",IF(B70="Réserve","Choix incorrect",B70)))</f>
        <v>Académies de Aix-Marseille, Amiens, Caen, Lille, Nancy-Metz, Nantes, Nice, Orléans-Tours, Reims, Rennes, Rouen, Strasbourg</v>
      </c>
      <c r="J70" s="33"/>
      <c r="K70" s="334"/>
      <c r="L70" s="35"/>
      <c r="M70" s="35"/>
      <c r="N70" s="36"/>
      <c r="O70" s="32"/>
      <c r="P70" s="33"/>
      <c r="Q70" s="33"/>
      <c r="R70" s="334"/>
      <c r="S70" s="35"/>
      <c r="T70" s="35"/>
      <c r="U70" s="36"/>
      <c r="V70" s="32"/>
      <c r="W70" s="33"/>
      <c r="X70" s="33"/>
      <c r="Y70" s="334"/>
      <c r="Z70" s="35"/>
      <c r="AA70" s="35"/>
      <c r="AB70" s="36"/>
      <c r="AC70" s="32"/>
      <c r="AD70" s="33"/>
      <c r="AE70" s="33"/>
      <c r="AF70" s="334"/>
      <c r="AG70" s="35"/>
      <c r="AH70" s="35"/>
      <c r="AI70" s="36"/>
      <c r="AJ70" s="32"/>
      <c r="AK70" s="33"/>
      <c r="AL70" s="33"/>
      <c r="AM70" s="334"/>
      <c r="AN70" s="35"/>
      <c r="AO70" s="35"/>
      <c r="AP70" s="36"/>
      <c r="AQ70" s="32"/>
      <c r="AR70" s="33"/>
      <c r="AS70" s="33"/>
      <c r="AT70" s="334"/>
      <c r="AU70" s="35"/>
      <c r="AV70" s="35"/>
      <c r="AW70" s="36"/>
      <c r="AX70" s="32"/>
      <c r="AY70" s="33"/>
      <c r="AZ70" s="33"/>
      <c r="BA70" s="334"/>
      <c r="BB70" s="35"/>
      <c r="BC70" s="35"/>
      <c r="BD70" s="36"/>
      <c r="BE70" s="32"/>
      <c r="BF70" s="33"/>
      <c r="BG70" s="33"/>
      <c r="BH70" s="334"/>
      <c r="BI70" s="35"/>
      <c r="BJ70" s="35"/>
      <c r="BK70" s="36"/>
      <c r="BL70" s="32"/>
      <c r="BM70" s="33"/>
      <c r="BN70" s="33"/>
      <c r="BO70" s="334"/>
      <c r="BP70" s="35"/>
      <c r="BQ70" s="35"/>
      <c r="BR70" s="36"/>
      <c r="BS70" s="32"/>
      <c r="BT70" s="33"/>
      <c r="BU70" s="33"/>
      <c r="BV70" s="334"/>
      <c r="BW70" s="35"/>
      <c r="BX70" s="35"/>
      <c r="BY70" s="36"/>
      <c r="BZ70" s="32"/>
      <c r="CA70" s="33"/>
      <c r="CB70" s="33"/>
      <c r="CC70" s="334"/>
      <c r="CD70" s="35"/>
      <c r="CE70" s="35"/>
      <c r="CF70" s="36"/>
      <c r="CG70" s="356"/>
    </row>
    <row r="71" spans="1:85" ht="3" customHeight="1" x14ac:dyDescent="0.2">
      <c r="A71" s="355"/>
      <c r="B71" s="386"/>
      <c r="C71" s="386"/>
      <c r="D71" s="386"/>
      <c r="E71" s="386"/>
      <c r="F71" s="386"/>
      <c r="G71" s="386"/>
      <c r="H71" s="32"/>
      <c r="I71" s="386"/>
      <c r="J71" s="33"/>
      <c r="K71" s="334"/>
      <c r="L71" s="35"/>
      <c r="M71" s="35"/>
      <c r="N71" s="36"/>
      <c r="O71" s="32"/>
      <c r="P71" s="33"/>
      <c r="Q71" s="33"/>
      <c r="R71" s="334"/>
      <c r="S71" s="35"/>
      <c r="T71" s="35"/>
      <c r="U71" s="36"/>
      <c r="V71" s="32"/>
      <c r="W71" s="33"/>
      <c r="X71" s="33"/>
      <c r="Y71" s="334"/>
      <c r="Z71" s="35"/>
      <c r="AA71" s="35"/>
      <c r="AB71" s="36"/>
      <c r="AC71" s="32"/>
      <c r="AD71" s="33"/>
      <c r="AE71" s="33"/>
      <c r="AF71" s="334"/>
      <c r="AG71" s="35"/>
      <c r="AH71" s="35"/>
      <c r="AI71" s="36"/>
      <c r="AJ71" s="32"/>
      <c r="AK71" s="33"/>
      <c r="AL71" s="33"/>
      <c r="AM71" s="334"/>
      <c r="AN71" s="35"/>
      <c r="AO71" s="35"/>
      <c r="AP71" s="36"/>
      <c r="AQ71" s="32"/>
      <c r="AR71" s="33"/>
      <c r="AS71" s="33"/>
      <c r="AT71" s="334"/>
      <c r="AU71" s="35"/>
      <c r="AV71" s="35"/>
      <c r="AW71" s="36"/>
      <c r="AX71" s="32"/>
      <c r="AY71" s="33"/>
      <c r="AZ71" s="33"/>
      <c r="BA71" s="334"/>
      <c r="BB71" s="35"/>
      <c r="BC71" s="35"/>
      <c r="BD71" s="36"/>
      <c r="BE71" s="32"/>
      <c r="BF71" s="33"/>
      <c r="BG71" s="33"/>
      <c r="BH71" s="334"/>
      <c r="BI71" s="35"/>
      <c r="BJ71" s="35"/>
      <c r="BK71" s="36"/>
      <c r="BL71" s="32"/>
      <c r="BM71" s="33"/>
      <c r="BN71" s="33"/>
      <c r="BO71" s="334"/>
      <c r="BP71" s="35"/>
      <c r="BQ71" s="35"/>
      <c r="BR71" s="36"/>
      <c r="BS71" s="32"/>
      <c r="BT71" s="33"/>
      <c r="BU71" s="33"/>
      <c r="BV71" s="334"/>
      <c r="BW71" s="35"/>
      <c r="BX71" s="35"/>
      <c r="BY71" s="36"/>
      <c r="BZ71" s="32"/>
      <c r="CA71" s="33"/>
      <c r="CB71" s="33"/>
      <c r="CC71" s="334"/>
      <c r="CD71" s="35"/>
      <c r="CE71" s="35"/>
      <c r="CF71" s="36"/>
      <c r="CG71" s="356"/>
    </row>
    <row r="72" spans="1:85" x14ac:dyDescent="0.2">
      <c r="A72" s="355"/>
      <c r="B72" s="557" t="s">
        <v>519</v>
      </c>
      <c r="C72" s="557"/>
      <c r="D72" s="557"/>
      <c r="E72" s="557"/>
      <c r="F72" s="557"/>
      <c r="G72" s="558"/>
      <c r="H72" s="32"/>
      <c r="I72" s="386" t="str">
        <f>IF(OR(B72="Zone A",B72="Zone B",B72="Zone C"),VLOOKUP(B72,Calculs!R95:S97,2,FALSE),IF(B72="Choix ?","",IF(B72="Réserve","Choix incorrect",B72)))</f>
        <v>Académies de Créteil, Montpellier, Paris, Toulouse, Versailles</v>
      </c>
      <c r="J72" s="33"/>
      <c r="K72" s="334"/>
      <c r="L72" s="35"/>
      <c r="M72" s="35"/>
      <c r="N72" s="36"/>
      <c r="O72" s="32"/>
      <c r="P72" s="33"/>
      <c r="Q72" s="33"/>
      <c r="R72" s="334"/>
      <c r="S72" s="35"/>
      <c r="T72" s="35"/>
      <c r="U72" s="36"/>
      <c r="V72" s="32"/>
      <c r="W72" s="33"/>
      <c r="X72" s="33"/>
      <c r="Y72" s="334"/>
      <c r="Z72" s="35"/>
      <c r="AA72" s="35"/>
      <c r="AB72" s="36"/>
      <c r="AC72" s="32"/>
      <c r="AD72" s="33"/>
      <c r="AE72" s="33"/>
      <c r="AF72" s="334"/>
      <c r="AG72" s="35"/>
      <c r="AH72" s="35"/>
      <c r="AI72" s="36"/>
      <c r="AJ72" s="32"/>
      <c r="AK72" s="33"/>
      <c r="AL72" s="33"/>
      <c r="AM72" s="334"/>
      <c r="AN72" s="35"/>
      <c r="AO72" s="35"/>
      <c r="AP72" s="36"/>
      <c r="AQ72" s="32"/>
      <c r="AR72" s="33"/>
      <c r="AS72" s="33"/>
      <c r="AT72" s="334"/>
      <c r="AU72" s="35"/>
      <c r="AV72" s="35"/>
      <c r="AW72" s="36"/>
      <c r="AX72" s="32"/>
      <c r="AY72" s="33"/>
      <c r="AZ72" s="33"/>
      <c r="BA72" s="334"/>
      <c r="BB72" s="35"/>
      <c r="BC72" s="35"/>
      <c r="BD72" s="36"/>
      <c r="BE72" s="32"/>
      <c r="BF72" s="33"/>
      <c r="BG72" s="33"/>
      <c r="BH72" s="334"/>
      <c r="BI72" s="35"/>
      <c r="BJ72" s="35"/>
      <c r="BK72" s="36"/>
      <c r="BL72" s="32"/>
      <c r="BM72" s="33"/>
      <c r="BN72" s="33"/>
      <c r="BO72" s="334"/>
      <c r="BP72" s="35"/>
      <c r="BQ72" s="35"/>
      <c r="BR72" s="36"/>
      <c r="BS72" s="32"/>
      <c r="BT72" s="33"/>
      <c r="BU72" s="33"/>
      <c r="BV72" s="334"/>
      <c r="BW72" s="35"/>
      <c r="BX72" s="35"/>
      <c r="BY72" s="36"/>
      <c r="BZ72" s="32"/>
      <c r="CA72" s="33"/>
      <c r="CB72" s="33"/>
      <c r="CC72" s="334"/>
      <c r="CD72" s="35"/>
      <c r="CE72" s="35"/>
      <c r="CF72" s="36"/>
      <c r="CG72" s="356"/>
    </row>
    <row r="73" spans="1:85" ht="8" customHeight="1" x14ac:dyDescent="0.2">
      <c r="A73" s="363"/>
      <c r="B73" s="364"/>
      <c r="C73" s="364"/>
      <c r="D73" s="365"/>
      <c r="E73" s="366"/>
      <c r="F73" s="366"/>
      <c r="G73" s="367"/>
      <c r="H73" s="368"/>
      <c r="I73" s="364"/>
      <c r="J73" s="364"/>
      <c r="K73" s="365"/>
      <c r="L73" s="366"/>
      <c r="M73" s="366"/>
      <c r="N73" s="367"/>
      <c r="O73" s="368"/>
      <c r="P73" s="364"/>
      <c r="Q73" s="364"/>
      <c r="R73" s="365"/>
      <c r="S73" s="366"/>
      <c r="T73" s="366"/>
      <c r="U73" s="367"/>
      <c r="V73" s="368"/>
      <c r="W73" s="364"/>
      <c r="X73" s="364"/>
      <c r="Y73" s="365"/>
      <c r="Z73" s="366"/>
      <c r="AA73" s="366"/>
      <c r="AB73" s="367"/>
      <c r="AC73" s="368"/>
      <c r="AD73" s="364"/>
      <c r="AE73" s="364"/>
      <c r="AF73" s="365"/>
      <c r="AG73" s="366"/>
      <c r="AH73" s="366"/>
      <c r="AI73" s="367"/>
      <c r="AJ73" s="368"/>
      <c r="AK73" s="364"/>
      <c r="AL73" s="364"/>
      <c r="AM73" s="365"/>
      <c r="AN73" s="366"/>
      <c r="AO73" s="366"/>
      <c r="AP73" s="367"/>
      <c r="AQ73" s="368"/>
      <c r="AR73" s="364"/>
      <c r="AS73" s="364"/>
      <c r="AT73" s="365"/>
      <c r="AU73" s="366"/>
      <c r="AV73" s="366"/>
      <c r="AW73" s="367"/>
      <c r="AX73" s="368"/>
      <c r="AY73" s="364"/>
      <c r="AZ73" s="364"/>
      <c r="BA73" s="365"/>
      <c r="BB73" s="366"/>
      <c r="BC73" s="366"/>
      <c r="BD73" s="367"/>
      <c r="BE73" s="368"/>
      <c r="BF73" s="364"/>
      <c r="BG73" s="364"/>
      <c r="BH73" s="365"/>
      <c r="BI73" s="366"/>
      <c r="BJ73" s="366"/>
      <c r="BK73" s="367"/>
      <c r="BL73" s="368"/>
      <c r="BM73" s="364"/>
      <c r="BN73" s="364"/>
      <c r="BO73" s="365"/>
      <c r="BP73" s="366"/>
      <c r="BQ73" s="366"/>
      <c r="BR73" s="367"/>
      <c r="BS73" s="368"/>
      <c r="BT73" s="364"/>
      <c r="BU73" s="364"/>
      <c r="BV73" s="365"/>
      <c r="BW73" s="366"/>
      <c r="BX73" s="366"/>
      <c r="BY73" s="367"/>
      <c r="BZ73" s="368"/>
      <c r="CA73" s="364"/>
      <c r="CB73" s="364"/>
      <c r="CC73" s="365"/>
      <c r="CD73" s="366"/>
      <c r="CE73" s="366"/>
      <c r="CF73" s="367"/>
      <c r="CG73" s="369"/>
    </row>
  </sheetData>
  <sheetProtection sheet="1" objects="1" scenarios="1"/>
  <mergeCells count="17">
    <mergeCell ref="B68:G68"/>
    <mergeCell ref="B70:G70"/>
    <mergeCell ref="B72:G72"/>
    <mergeCell ref="P2:AV2"/>
    <mergeCell ref="AY2:CE2"/>
    <mergeCell ref="B4:G4"/>
    <mergeCell ref="I4:N4"/>
    <mergeCell ref="P4:U4"/>
    <mergeCell ref="W4:AB4"/>
    <mergeCell ref="AD4:AI4"/>
    <mergeCell ref="AK4:AP4"/>
    <mergeCell ref="AR4:AW4"/>
    <mergeCell ref="AY4:BD4"/>
    <mergeCell ref="BF4:BK4"/>
    <mergeCell ref="BM4:BR4"/>
    <mergeCell ref="BT4:BY4"/>
    <mergeCell ref="CA4:CF4"/>
  </mergeCells>
  <phoneticPr fontId="7" type="noConversion"/>
  <conditionalFormatting sqref="CF67">
    <cfRule type="expression" dxfId="3622" priority="3800">
      <formula>OR(CA67="Sa",CA67="Di",#REF!="F")</formula>
    </cfRule>
    <cfRule type="expression" dxfId="3621" priority="3801">
      <formula>CA67&lt;&gt;""</formula>
    </cfRule>
  </conditionalFormatting>
  <conditionalFormatting sqref="BY67">
    <cfRule type="expression" dxfId="3620" priority="3798">
      <formula>OR(BT67="Sa",BT67="Di",#REF!="F")</formula>
    </cfRule>
    <cfRule type="expression" dxfId="3619" priority="3799">
      <formula>BT67&lt;&gt;""</formula>
    </cfRule>
  </conditionalFormatting>
  <conditionalFormatting sqref="N67">
    <cfRule type="expression" dxfId="3618" priority="3796">
      <formula>OR(I67="Sa",I67="Di",#REF!="F")</formula>
    </cfRule>
    <cfRule type="expression" dxfId="3617" priority="3797">
      <formula>I67&lt;&gt;""</formula>
    </cfRule>
  </conditionalFormatting>
  <conditionalFormatting sqref="BR67">
    <cfRule type="expression" dxfId="3616" priority="3794">
      <formula>OR(BM67="Sa",BM67="Di",#REF!="F")</formula>
    </cfRule>
    <cfRule type="expression" dxfId="3615" priority="3795">
      <formula>BM67&lt;&gt;""</formula>
    </cfRule>
  </conditionalFormatting>
  <conditionalFormatting sqref="U67">
    <cfRule type="expression" dxfId="3614" priority="3792">
      <formula>OR(P67="Sa",P67="Di",#REF!="F")</formula>
    </cfRule>
    <cfRule type="expression" dxfId="3613" priority="3793">
      <formula>P67&lt;&gt;""</formula>
    </cfRule>
  </conditionalFormatting>
  <conditionalFormatting sqref="AB67 BK67">
    <cfRule type="expression" dxfId="3612" priority="3790">
      <formula>OR(W67="Sa",W67="Di",#REF!="F")</formula>
    </cfRule>
    <cfRule type="expression" dxfId="3611" priority="3791">
      <formula>W67&lt;&gt;""</formula>
    </cfRule>
  </conditionalFormatting>
  <conditionalFormatting sqref="AB67">
    <cfRule type="expression" dxfId="3610" priority="3788">
      <formula>OR(W67="Sa",W67="Di",#REF!="F")</formula>
    </cfRule>
    <cfRule type="expression" dxfId="3609" priority="3789">
      <formula>W67&lt;&gt;""</formula>
    </cfRule>
  </conditionalFormatting>
  <conditionalFormatting sqref="AI67">
    <cfRule type="expression" dxfId="3608" priority="3786">
      <formula>OR(AD67="Sa",AD67="Di",#REF!="F")</formula>
    </cfRule>
    <cfRule type="expression" dxfId="3607" priority="3787">
      <formula>AD67&lt;&gt;""</formula>
    </cfRule>
  </conditionalFormatting>
  <conditionalFormatting sqref="AI67">
    <cfRule type="expression" dxfId="3606" priority="3784">
      <formula>OR(AD67="Sa",AD67="Di",#REF!="F")</formula>
    </cfRule>
    <cfRule type="expression" dxfId="3605" priority="3785">
      <formula>AD67&lt;&gt;""</formula>
    </cfRule>
  </conditionalFormatting>
  <conditionalFormatting sqref="AP67">
    <cfRule type="expression" dxfId="3604" priority="3782">
      <formula>OR(AK67="Sa",AK67="Di",#REF!="F")</formula>
    </cfRule>
    <cfRule type="expression" dxfId="3603" priority="3783">
      <formula>AK67&lt;&gt;""</formula>
    </cfRule>
  </conditionalFormatting>
  <conditionalFormatting sqref="AP67">
    <cfRule type="expression" dxfId="3602" priority="3780">
      <formula>OR(AK67="Sa",AK67="Di",#REF!="F")</formula>
    </cfRule>
    <cfRule type="expression" dxfId="3601" priority="3781">
      <formula>AK67&lt;&gt;""</formula>
    </cfRule>
  </conditionalFormatting>
  <conditionalFormatting sqref="AW67">
    <cfRule type="expression" dxfId="3600" priority="3778">
      <formula>OR(AR67="Sa",AR67="Di",#REF!="F")</formula>
    </cfRule>
    <cfRule type="expression" dxfId="3599" priority="3779">
      <formula>AR67&lt;&gt;""</formula>
    </cfRule>
  </conditionalFormatting>
  <conditionalFormatting sqref="BD67">
    <cfRule type="expression" dxfId="3598" priority="3776">
      <formula>OR(AY67="Sa",AY67="Di",#REF!="F")</formula>
    </cfRule>
    <cfRule type="expression" dxfId="3597" priority="3777">
      <formula>AY67&lt;&gt;""</formula>
    </cfRule>
  </conditionalFormatting>
  <conditionalFormatting sqref="BK67">
    <cfRule type="expression" dxfId="3596" priority="3774">
      <formula>OR(BF67="Sa",BF67="Di",#REF!="F")</formula>
    </cfRule>
    <cfRule type="expression" dxfId="3595" priority="3775">
      <formula>BF67&lt;&gt;""</formula>
    </cfRule>
  </conditionalFormatting>
  <conditionalFormatting sqref="BR67">
    <cfRule type="expression" dxfId="3594" priority="3772">
      <formula>OR(BM67="Sa",BM67="Di",#REF!="F")</formula>
    </cfRule>
    <cfRule type="expression" dxfId="3593" priority="3773">
      <formula>BM67&lt;&gt;""</formula>
    </cfRule>
  </conditionalFormatting>
  <conditionalFormatting sqref="BY67">
    <cfRule type="expression" dxfId="3592" priority="3770">
      <formula>OR(BT67="Sa",BT67="Di",#REF!="F")</formula>
    </cfRule>
    <cfRule type="expression" dxfId="3591" priority="3771">
      <formula>BT67&lt;&gt;""</formula>
    </cfRule>
  </conditionalFormatting>
  <conditionalFormatting sqref="CF67">
    <cfRule type="expression" dxfId="3590" priority="3768">
      <formula>OR(CA67="Sa",CA67="Di",#REF!="F")</formula>
    </cfRule>
    <cfRule type="expression" dxfId="3589" priority="3769">
      <formula>CA67&lt;&gt;""</formula>
    </cfRule>
  </conditionalFormatting>
  <conditionalFormatting sqref="CE67">
    <cfRule type="expression" dxfId="3588" priority="3766">
      <formula>OR(CA67="Sa",CA67="Di",#REF!="F")</formula>
    </cfRule>
    <cfRule type="expression" dxfId="3587" priority="3767">
      <formula>CA67&lt;&gt;""</formula>
    </cfRule>
  </conditionalFormatting>
  <conditionalFormatting sqref="B4">
    <cfRule type="expression" dxfId="3586" priority="3765">
      <formula>B4&lt;&gt;""</formula>
    </cfRule>
  </conditionalFormatting>
  <conditionalFormatting sqref="BD67">
    <cfRule type="expression" dxfId="3585" priority="3763">
      <formula>OR(AY67="Sa",AY67="Di",#REF!="F")</formula>
    </cfRule>
    <cfRule type="expression" dxfId="3584" priority="3764">
      <formula>AY67&lt;&gt;""</formula>
    </cfRule>
  </conditionalFormatting>
  <conditionalFormatting sqref="BX67">
    <cfRule type="expression" dxfId="3583" priority="3761">
      <formula>OR(BT67="Sa",BT67="Di",#REF!="F")</formula>
    </cfRule>
    <cfRule type="expression" dxfId="3582" priority="3762">
      <formula>BT67&lt;&gt;""</formula>
    </cfRule>
  </conditionalFormatting>
  <conditionalFormatting sqref="BQ67">
    <cfRule type="expression" dxfId="3581" priority="3759">
      <formula>OR(BM67="Sa",BM67="Di",#REF!="F")</formula>
    </cfRule>
    <cfRule type="expression" dxfId="3580" priority="3760">
      <formula>BM67&lt;&gt;""</formula>
    </cfRule>
  </conditionalFormatting>
  <conditionalFormatting sqref="BC67">
    <cfRule type="expression" dxfId="3579" priority="3757">
      <formula>OR(AY67="Sa",AY67="Di",#REF!="F")</formula>
    </cfRule>
    <cfRule type="expression" dxfId="3578" priority="3758">
      <formula>AY67&lt;&gt;""</formula>
    </cfRule>
  </conditionalFormatting>
  <conditionalFormatting sqref="B2:O2 AX2 CF2">
    <cfRule type="expression" dxfId="3577" priority="3756">
      <formula>$W$2&lt;&gt;""</formula>
    </cfRule>
  </conditionalFormatting>
  <conditionalFormatting sqref="AT67:AU67 K67:L67 R67:S67 Y67:Z67 AF67:AG67 AM67:AN67 BA67:BB67 BH67:BI67 BO67:BP67 BV67:BW67 CC67:CD67">
    <cfRule type="expression" dxfId="3576" priority="3802">
      <formula>OR(I67="Sa",I67="Di",#REF!="F")</formula>
    </cfRule>
    <cfRule type="expression" dxfId="3575" priority="3803">
      <formula>I67&lt;&gt;""</formula>
    </cfRule>
  </conditionalFormatting>
  <conditionalFormatting sqref="J67 Q67 X67 AE67 AL67">
    <cfRule type="expression" dxfId="3574" priority="3804">
      <formula>OR(I67="Sa",I67="Di",#REF!="F")</formula>
    </cfRule>
    <cfRule type="expression" dxfId="3573" priority="3805">
      <formula>I67&lt;&gt;""</formula>
    </cfRule>
  </conditionalFormatting>
  <conditionalFormatting sqref="I67 P67 W67 AD67 AK67 AR67 AY67 BF67 BM67 BT67 CA67">
    <cfRule type="expression" dxfId="3572" priority="3806" stopIfTrue="1">
      <formula>OR(I67="Sa",I67="Di",#REF!="F")</formula>
    </cfRule>
    <cfRule type="expression" dxfId="3571" priority="3807" stopIfTrue="1">
      <formula>K67&lt;&gt;""</formula>
    </cfRule>
    <cfRule type="expression" dxfId="3570" priority="3808" stopIfTrue="1">
      <formula>I67&lt;&gt;""</formula>
    </cfRule>
  </conditionalFormatting>
  <conditionalFormatting sqref="M67 T67 AA67 AH67 AO67">
    <cfRule type="expression" dxfId="3569" priority="3809">
      <formula>OR(J67="Sa",J67="Di",K67="F")</formula>
    </cfRule>
    <cfRule type="expression" dxfId="3568" priority="3810">
      <formula>J67&lt;&gt;""</formula>
    </cfRule>
  </conditionalFormatting>
  <conditionalFormatting sqref="AY2">
    <cfRule type="expression" dxfId="3567" priority="3755">
      <formula>$W$2&lt;&gt;""</formula>
    </cfRule>
  </conditionalFormatting>
  <conditionalFormatting sqref="G6">
    <cfRule type="cellIs" dxfId="3566" priority="3603" operator="equal">
      <formula>" "</formula>
    </cfRule>
    <cfRule type="expression" dxfId="3565" priority="3751">
      <formula>OR(B6="Sa",B6="Di",D6="F")</formula>
    </cfRule>
    <cfRule type="expression" dxfId="3564" priority="3752">
      <formula>B6&lt;&gt;""</formula>
    </cfRule>
  </conditionalFormatting>
  <conditionalFormatting sqref="B6">
    <cfRule type="expression" dxfId="3563" priority="3753">
      <formula>OR(B6="Sa",B6="Di",D6="F")</formula>
    </cfRule>
    <cfRule type="expression" dxfId="3562" priority="3754">
      <formula>B6&lt;&gt;""</formula>
    </cfRule>
  </conditionalFormatting>
  <conditionalFormatting sqref="C6">
    <cfRule type="expression" dxfId="3561" priority="3749">
      <formula>OR(B6="Sa",B6="Di",D6="F")</formula>
    </cfRule>
    <cfRule type="expression" dxfId="3560" priority="3750">
      <formula>B6&lt;&gt;""</formula>
    </cfRule>
  </conditionalFormatting>
  <conditionalFormatting sqref="D6">
    <cfRule type="expression" dxfId="3559" priority="3747">
      <formula>OR(B6="Sa",B6="Di",D6="F")</formula>
    </cfRule>
    <cfRule type="expression" dxfId="3558" priority="3748">
      <formula>B6&lt;&gt;""</formula>
    </cfRule>
  </conditionalFormatting>
  <conditionalFormatting sqref="E6">
    <cfRule type="cellIs" dxfId="3557" priority="3745" operator="equal">
      <formula>" "</formula>
    </cfRule>
    <cfRule type="expression" dxfId="3556" priority="3746">
      <formula>OR(B6="Sa",B6="Di",D6="F")</formula>
    </cfRule>
    <cfRule type="expression" dxfId="3555" priority="3811">
      <formula>B6&lt;&gt;""</formula>
    </cfRule>
  </conditionalFormatting>
  <conditionalFormatting sqref="B66 B64 B62 B60 B58 B56 B54 B52 B50 B48 B46 B44 B42 B40 B38 B36 B34 B32 B30 B28 B26 B24 B22 B20 B18 B16 B14 B12 B10 B8">
    <cfRule type="expression" dxfId="3554" priority="3743">
      <formula>OR(B8="Sa",B8="Di",D8="F")</formula>
    </cfRule>
    <cfRule type="expression" dxfId="3553" priority="3744">
      <formula>B8&lt;&gt;""</formula>
    </cfRule>
  </conditionalFormatting>
  <conditionalFormatting sqref="C66 C64 C62 C60 C58 C56 C54 C52 C50 C48 C46 C44 C42 C40 C38 C36 C34 C32 C30 C28 C26 C24 C22 C20 C18 C16 C14 C12 C10 C8">
    <cfRule type="expression" dxfId="3552" priority="3741">
      <formula>OR(B8="Sa",B8="Di",D8="F")</formula>
    </cfRule>
    <cfRule type="expression" dxfId="3551" priority="3742">
      <formula>B8&lt;&gt;""</formula>
    </cfRule>
  </conditionalFormatting>
  <conditionalFormatting sqref="D66 D64 D62 D60 D58 D56 D54 D52 D50 D48 D46 D44 D42 D40 D38 D36 D34 D32 D30 D28 D26 D24 D22 D20 D18 D16 D14 D12 D10 D8">
    <cfRule type="expression" dxfId="3550" priority="3739">
      <formula>OR(B8="Sa",B8="Di",D8="F")</formula>
    </cfRule>
    <cfRule type="expression" dxfId="3549" priority="3740">
      <formula>B8&lt;&gt;""</formula>
    </cfRule>
  </conditionalFormatting>
  <conditionalFormatting sqref="I6">
    <cfRule type="expression" dxfId="3548" priority="3737">
      <formula>OR(I6="Sa",I6="Di",K6="F")</formula>
    </cfRule>
    <cfRule type="expression" dxfId="3547" priority="3738">
      <formula>I6&lt;&gt;""</formula>
    </cfRule>
  </conditionalFormatting>
  <conditionalFormatting sqref="J6">
    <cfRule type="expression" dxfId="3546" priority="3735">
      <formula>OR(I6="Sa",I6="Di",K6="F")</formula>
    </cfRule>
    <cfRule type="expression" dxfId="3545" priority="3736">
      <formula>I6&lt;&gt;""</formula>
    </cfRule>
  </conditionalFormatting>
  <conditionalFormatting sqref="K6">
    <cfRule type="expression" dxfId="3544" priority="3733">
      <formula>OR(I6="Sa",I6="Di",K6="F")</formula>
    </cfRule>
    <cfRule type="expression" dxfId="3543" priority="3734">
      <formula>I6&lt;&gt;""</formula>
    </cfRule>
  </conditionalFormatting>
  <conditionalFormatting sqref="I66 I64 I62 I60 I58 I56 I54 I52 I50 I48 I46 I44 I42 I40 I38 I36 I34 I32 I30 I28 I26 I24 I22 I20 I18 I16 I14 I12 I10 I8">
    <cfRule type="expression" dxfId="3542" priority="3731">
      <formula>OR(I8="Sa",I8="Di",K8="F")</formula>
    </cfRule>
    <cfRule type="expression" dxfId="3541" priority="3732">
      <formula>I8&lt;&gt;""</formula>
    </cfRule>
  </conditionalFormatting>
  <conditionalFormatting sqref="J66 J64 J62 J60 J58 J56 J54 J52 J50 J48 J46 J44 J42 J40 J38 J36 J34 J32 J30 J28 J26 J24 J22 J20 J18 J16 J14 J12 J10 J8">
    <cfRule type="expression" dxfId="3540" priority="3729">
      <formula>OR(I8="Sa",I8="Di",K8="F")</formula>
    </cfRule>
    <cfRule type="expression" dxfId="3539" priority="3730">
      <formula>I8&lt;&gt;""</formula>
    </cfRule>
  </conditionalFormatting>
  <conditionalFormatting sqref="K66 K64 K62 K60 K58 K56 K54 K52 K50 K48 K46 K44 K42 K40 K38 K36 K34 K32 K30 K28 K26 K24 K22 K20 K18 K16 K14 K12 K10 K8">
    <cfRule type="expression" dxfId="3538" priority="3727">
      <formula>OR(I8="Sa",I8="Di",K8="F")</formula>
    </cfRule>
    <cfRule type="expression" dxfId="3537" priority="3728">
      <formula>I8&lt;&gt;""</formula>
    </cfRule>
  </conditionalFormatting>
  <conditionalFormatting sqref="P6">
    <cfRule type="expression" dxfId="3536" priority="3725">
      <formula>OR(P6="Sa",P6="Di",R6="F")</formula>
    </cfRule>
    <cfRule type="expression" dxfId="3535" priority="3726">
      <formula>P6&lt;&gt;""</formula>
    </cfRule>
  </conditionalFormatting>
  <conditionalFormatting sqref="Q6">
    <cfRule type="expression" dxfId="3534" priority="3723">
      <formula>OR(P6="Sa",P6="Di",R6="F")</formula>
    </cfRule>
    <cfRule type="expression" dxfId="3533" priority="3724">
      <formula>P6&lt;&gt;""</formula>
    </cfRule>
  </conditionalFormatting>
  <conditionalFormatting sqref="R6">
    <cfRule type="expression" dxfId="3532" priority="3721">
      <formula>OR(P6="Sa",P6="Di",R6="F")</formula>
    </cfRule>
    <cfRule type="expression" dxfId="3531" priority="3722">
      <formula>P6&lt;&gt;""</formula>
    </cfRule>
  </conditionalFormatting>
  <conditionalFormatting sqref="P66 P64 P62 P60 P58 P56 P54 P52 P50 P48 P46 P44 P42 P40 P38 P36 P34 P32 P30 P28 P26 P24 P22 P20 P18 P16 P14 P12 P10 P8">
    <cfRule type="expression" dxfId="3530" priority="3719">
      <formula>OR(P8="Sa",P8="Di",R8="F")</formula>
    </cfRule>
    <cfRule type="expression" dxfId="3529" priority="3720">
      <formula>P8&lt;&gt;""</formula>
    </cfRule>
  </conditionalFormatting>
  <conditionalFormatting sqref="Q66 Q64 Q62 Q60 Q58 Q56 Q54 Q52 Q50 Q48 Q46 Q44 Q42 Q40 Q38 Q36 Q34 Q32 Q30 Q28 Q26 Q24 Q22 Q20 Q18 Q16 Q14 Q12 Q10 Q8">
    <cfRule type="expression" dxfId="3528" priority="3717">
      <formula>OR(P8="Sa",P8="Di",R8="F")</formula>
    </cfRule>
    <cfRule type="expression" dxfId="3527" priority="3718">
      <formula>P8&lt;&gt;""</formula>
    </cfRule>
  </conditionalFormatting>
  <conditionalFormatting sqref="R66 R64 R62 R60 R58 R56 R54 R52 R50 R48 R46 R44 R42 R40 R38 R36 R34 R32 R30 R28 R26 R24 R22 R20 R18 R16 R14 R12 R10 R8">
    <cfRule type="expression" dxfId="3526" priority="3715">
      <formula>OR(P8="Sa",P8="Di",R8="F")</formula>
    </cfRule>
    <cfRule type="expression" dxfId="3525" priority="3716">
      <formula>P8&lt;&gt;""</formula>
    </cfRule>
  </conditionalFormatting>
  <conditionalFormatting sqref="W6">
    <cfRule type="expression" dxfId="3524" priority="3713">
      <formula>OR(W6="Sa",W6="Di",Y6="F")</formula>
    </cfRule>
    <cfRule type="expression" dxfId="3523" priority="3714">
      <formula>W6&lt;&gt;""</formula>
    </cfRule>
  </conditionalFormatting>
  <conditionalFormatting sqref="X6">
    <cfRule type="expression" dxfId="3522" priority="3711">
      <formula>OR(W6="Sa",W6="Di",Y6="F")</formula>
    </cfRule>
    <cfRule type="expression" dxfId="3521" priority="3712">
      <formula>W6&lt;&gt;""</formula>
    </cfRule>
  </conditionalFormatting>
  <conditionalFormatting sqref="Y6">
    <cfRule type="expression" dxfId="3520" priority="3709">
      <formula>OR(W6="Sa",W6="Di",Y6="F")</formula>
    </cfRule>
    <cfRule type="expression" dxfId="3519" priority="3710">
      <formula>W6&lt;&gt;""</formula>
    </cfRule>
  </conditionalFormatting>
  <conditionalFormatting sqref="W66 W64 W62 W60 W58 W56 W54 W52 W50 W48 W46 W44 W42 W40 W38 W36 W34 W32 W30 W28 W26 W24 W22 W20 W18 W16 W14 W12 W10 W8">
    <cfRule type="expression" dxfId="3518" priority="3707">
      <formula>OR(W8="Sa",W8="Di",Y8="F")</formula>
    </cfRule>
    <cfRule type="expression" dxfId="3517" priority="3708">
      <formula>W8&lt;&gt;""</formula>
    </cfRule>
  </conditionalFormatting>
  <conditionalFormatting sqref="X66 X64 X62 X60 X58 X56 X54 X52 X50 X48 X46 X44 X42 X40 X38 X36 X34 X32 X30 X28 X26 X24 X22 X20 X18 X16 X14 X12 X10 X8">
    <cfRule type="expression" dxfId="3516" priority="3705">
      <formula>OR(W8="Sa",W8="Di",Y8="F")</formula>
    </cfRule>
    <cfRule type="expression" dxfId="3515" priority="3706">
      <formula>W8&lt;&gt;""</formula>
    </cfRule>
  </conditionalFormatting>
  <conditionalFormatting sqref="Y66 Y64 Y62 Y60 Y58 Y56 Y54 Y52 Y50 Y48 Y46 Y44 Y42 Y40 Y38 Y36 Y34 Y32 Y30 Y28 Y26 Y24 Y22 Y20 Y18 Y16 Y14 Y12 Y10 Y8">
    <cfRule type="expression" dxfId="3514" priority="3703">
      <formula>OR(W8="Sa",W8="Di",Y8="F")</formula>
    </cfRule>
    <cfRule type="expression" dxfId="3513" priority="3704">
      <formula>W8&lt;&gt;""</formula>
    </cfRule>
  </conditionalFormatting>
  <conditionalFormatting sqref="AD6">
    <cfRule type="expression" dxfId="3512" priority="3701">
      <formula>OR(AD6="Sa",AD6="Di",AF6="F")</formula>
    </cfRule>
    <cfRule type="expression" dxfId="3511" priority="3702">
      <formula>AD6&lt;&gt;""</formula>
    </cfRule>
  </conditionalFormatting>
  <conditionalFormatting sqref="AE6">
    <cfRule type="expression" dxfId="3510" priority="3699">
      <formula>OR(AD6="Sa",AD6="Di",AF6="F")</formula>
    </cfRule>
    <cfRule type="expression" dxfId="3509" priority="3700">
      <formula>AD6&lt;&gt;""</formula>
    </cfRule>
  </conditionalFormatting>
  <conditionalFormatting sqref="AF6">
    <cfRule type="expression" dxfId="3508" priority="3697">
      <formula>OR(AD6="Sa",AD6="Di",AF6="F")</formula>
    </cfRule>
    <cfRule type="expression" dxfId="3507" priority="3698">
      <formula>AD6&lt;&gt;""</formula>
    </cfRule>
  </conditionalFormatting>
  <conditionalFormatting sqref="AD66 AD64 AD62 AD60 AD58 AD56 AD54 AD52 AD50 AD48 AD46 AD44 AD42 AD40 AD38 AD36 AD34 AD32 AD30 AD28 AD26 AD24 AD22 AD20 AD18 AD16 AD14 AD12 AD10 AD8">
    <cfRule type="expression" dxfId="3506" priority="3695">
      <formula>OR(AD8="Sa",AD8="Di",AF8="F")</formula>
    </cfRule>
    <cfRule type="expression" dxfId="3505" priority="3696">
      <formula>AD8&lt;&gt;""</formula>
    </cfRule>
  </conditionalFormatting>
  <conditionalFormatting sqref="AE66 AE64 AE62 AE60 AE58 AE56 AE54 AE52 AE50 AE48 AE46 AE44 AE42 AE40 AE38 AE36 AE34 AE32 AE30 AE28 AE26 AE24 AE22 AE20 AE18 AE16 AE14 AE12 AE10 AE8">
    <cfRule type="expression" dxfId="3504" priority="3693">
      <formula>OR(AD8="Sa",AD8="Di",AF8="F")</formula>
    </cfRule>
    <cfRule type="expression" dxfId="3503" priority="3694">
      <formula>AD8&lt;&gt;""</formula>
    </cfRule>
  </conditionalFormatting>
  <conditionalFormatting sqref="AF66 AF64 AF62 AF60 AF58 AF56 AF54 AF52 AF50 AF48 AF46 AF44 AF42 AF40 AF38 AF36 AF34 AF32 AF30 AF28 AF26 AF24 AF22 AF20 AF18 AF16 AF14 AF12 AF10 AF8">
    <cfRule type="expression" dxfId="3502" priority="3691">
      <formula>OR(AD8="Sa",AD8="Di",AF8="F")</formula>
    </cfRule>
    <cfRule type="expression" dxfId="3501" priority="3692">
      <formula>AD8&lt;&gt;""</formula>
    </cfRule>
  </conditionalFormatting>
  <conditionalFormatting sqref="AK6">
    <cfRule type="expression" dxfId="3500" priority="3689">
      <formula>OR(AK6="Sa",AK6="Di",AM6="F")</formula>
    </cfRule>
    <cfRule type="expression" dxfId="3499" priority="3690">
      <formula>AK6&lt;&gt;""</formula>
    </cfRule>
  </conditionalFormatting>
  <conditionalFormatting sqref="AL6">
    <cfRule type="expression" dxfId="3498" priority="3687">
      <formula>OR(AK6="Sa",AK6="Di",AM6="F")</formula>
    </cfRule>
    <cfRule type="expression" dxfId="3497" priority="3688">
      <formula>AK6&lt;&gt;""</formula>
    </cfRule>
  </conditionalFormatting>
  <conditionalFormatting sqref="AM6">
    <cfRule type="expression" dxfId="3496" priority="3685">
      <formula>OR(AK6="Sa",AK6="Di",AM6="F")</formula>
    </cfRule>
    <cfRule type="expression" dxfId="3495" priority="3686">
      <formula>AK6&lt;&gt;""</formula>
    </cfRule>
  </conditionalFormatting>
  <conditionalFormatting sqref="AK66 AK64 AK62 AK60 AK58 AK56 AK54 AK52 AK50 AK48 AK46 AK44 AK42 AK40 AK38 AK36 AK34 AK32 AK30 AK28 AK26 AK24 AK22 AK20 AK18 AK16 AK14 AK12 AK10 AK8">
    <cfRule type="expression" dxfId="3494" priority="3683">
      <formula>OR(AK8="Sa",AK8="Di",AM8="F")</formula>
    </cfRule>
    <cfRule type="expression" dxfId="3493" priority="3684">
      <formula>AK8&lt;&gt;""</formula>
    </cfRule>
  </conditionalFormatting>
  <conditionalFormatting sqref="AL66 AL64 AL62 AL60 AL58 AL56 AL54 AL52 AL50 AL48 AL46 AL44 AL42 AL40 AL38 AL36 AL34 AL32 AL30 AL28 AL26 AL24 AL22 AL20 AL18 AL16 AL14 AL12 AL10 AL8">
    <cfRule type="expression" dxfId="3492" priority="3681">
      <formula>OR(AK8="Sa",AK8="Di",AM8="F")</formula>
    </cfRule>
    <cfRule type="expression" dxfId="3491" priority="3682">
      <formula>AK8&lt;&gt;""</formula>
    </cfRule>
  </conditionalFormatting>
  <conditionalFormatting sqref="AM66 AM64 AM62 AM60 AM58 AM56 AM54 AM52 AM50 AM48 AM46 AM44 AM42 AM40 AM38 AM36 AM34 AM32 AM30 AM28 AM26 AM24 AM22 AM20 AM18 AM16 AM14 AM12 AM10 AM8">
    <cfRule type="expression" dxfId="3490" priority="3679">
      <formula>OR(AK8="Sa",AK8="Di",AM8="F")</formula>
    </cfRule>
    <cfRule type="expression" dxfId="3489" priority="3680">
      <formula>AK8&lt;&gt;""</formula>
    </cfRule>
  </conditionalFormatting>
  <conditionalFormatting sqref="AR6">
    <cfRule type="expression" dxfId="3488" priority="3677">
      <formula>OR(AR6="Sa",AR6="Di",AT6="F")</formula>
    </cfRule>
    <cfRule type="expression" dxfId="3487" priority="3678">
      <formula>AR6&lt;&gt;""</formula>
    </cfRule>
  </conditionalFormatting>
  <conditionalFormatting sqref="AS6">
    <cfRule type="expression" dxfId="3486" priority="3675">
      <formula>OR(AR6="Sa",AR6="Di",AT6="F")</formula>
    </cfRule>
    <cfRule type="expression" dxfId="3485" priority="3676">
      <formula>AR6&lt;&gt;""</formula>
    </cfRule>
  </conditionalFormatting>
  <conditionalFormatting sqref="AT6">
    <cfRule type="expression" dxfId="3484" priority="3673">
      <formula>OR(AR6="Sa",AR6="Di",AT6="F")</formula>
    </cfRule>
    <cfRule type="expression" dxfId="3483" priority="3674">
      <formula>AR6&lt;&gt;""</formula>
    </cfRule>
  </conditionalFormatting>
  <conditionalFormatting sqref="AR66 AR64 AR62 AR60 AR58 AR56 AR54 AR52 AR50 AR48 AR46 AR44 AR42 AR40 AR38 AR36 AR34 AR32 AR30 AR28 AR26 AR24 AR22 AR20 AR18 AR16 AR14 AR12 AR10 AR8">
    <cfRule type="expression" dxfId="3482" priority="3671">
      <formula>OR(AR8="Sa",AR8="Di",AT8="F")</formula>
    </cfRule>
    <cfRule type="expression" dxfId="3481" priority="3672">
      <formula>AR8&lt;&gt;""</formula>
    </cfRule>
  </conditionalFormatting>
  <conditionalFormatting sqref="AS66 AS64 AS62 AS60 AS58 AS56 AS54 AS52 AS50 AS48 AS46 AS44 AS42 AS40 AS38 AS36 AS34 AS32 AS30 AS28 AS26 AS24 AS22 AS20 AS18 AS16 AS14 AS12 AS10 AS8">
    <cfRule type="expression" dxfId="3480" priority="3669">
      <formula>OR(AR8="Sa",AR8="Di",AT8="F")</formula>
    </cfRule>
    <cfRule type="expression" dxfId="3479" priority="3670">
      <formula>AR8&lt;&gt;""</formula>
    </cfRule>
  </conditionalFormatting>
  <conditionalFormatting sqref="AT66 AT64 AT62 AT60 AT58 AT56 AT54 AT52 AT50 AT48 AT46 AT44 AT42 AT40 AT38 AT36 AT34 AT32 AT30 AT28 AT26 AT24 AT22 AT20 AT18 AT16 AT14 AT12 AT10 AT8">
    <cfRule type="expression" dxfId="3478" priority="3667">
      <formula>OR(AR8="Sa",AR8="Di",AT8="F")</formula>
    </cfRule>
    <cfRule type="expression" dxfId="3477" priority="3668">
      <formula>AR8&lt;&gt;""</formula>
    </cfRule>
  </conditionalFormatting>
  <conditionalFormatting sqref="AY6">
    <cfRule type="expression" dxfId="3476" priority="3665">
      <formula>OR(AY6="Sa",AY6="Di",BA6="F")</formula>
    </cfRule>
    <cfRule type="expression" dxfId="3475" priority="3666">
      <formula>AY6&lt;&gt;""</formula>
    </cfRule>
  </conditionalFormatting>
  <conditionalFormatting sqref="AZ6">
    <cfRule type="expression" dxfId="3474" priority="3663">
      <formula>OR(AY6="Sa",AY6="Di",BA6="F")</formula>
    </cfRule>
    <cfRule type="expression" dxfId="3473" priority="3664">
      <formula>AY6&lt;&gt;""</formula>
    </cfRule>
  </conditionalFormatting>
  <conditionalFormatting sqref="BA6">
    <cfRule type="expression" dxfId="3472" priority="3661">
      <formula>OR(AY6="Sa",AY6="Di",BA6="F")</formula>
    </cfRule>
    <cfRule type="expression" dxfId="3471" priority="3662">
      <formula>AY6&lt;&gt;""</formula>
    </cfRule>
  </conditionalFormatting>
  <conditionalFormatting sqref="AY66 AY64 AY62 AY60 AY58 AY56 AY54 AY52 AY50 AY48 AY46 AY44 AY42 AY40 AY38 AY36 AY34 AY32 AY30 AY28 AY26 AY24 AY22 AY20 AY18 AY16 AY14 AY12 AY10 AY8">
    <cfRule type="expression" dxfId="3470" priority="3659">
      <formula>OR(AY8="Sa",AY8="Di",BA8="F")</formula>
    </cfRule>
    <cfRule type="expression" dxfId="3469" priority="3660">
      <formula>AY8&lt;&gt;""</formula>
    </cfRule>
  </conditionalFormatting>
  <conditionalFormatting sqref="AZ66 AZ64 AZ62 AZ60 AZ58 AZ56 AZ54 AZ52 AZ50 AZ48 AZ46 AZ44 AZ42 AZ40 AZ38 AZ36 AZ34 AZ32 AZ30 AZ28 AZ26 AZ24 AZ22 AZ20 AZ18 AZ16 AZ14 AZ12 AZ10 AZ8">
    <cfRule type="expression" dxfId="3468" priority="3657">
      <formula>OR(AY8="Sa",AY8="Di",BA8="F")</formula>
    </cfRule>
    <cfRule type="expression" dxfId="3467" priority="3658">
      <formula>AY8&lt;&gt;""</formula>
    </cfRule>
  </conditionalFormatting>
  <conditionalFormatting sqref="BA66 BA64 BA62 BA60 BA58 BA56 BA54 BA52 BA50 BA48 BA46 BA44 BA42 BA40 BA38 BA36 BA34 BA32 BA30 BA28 BA26 BA24 BA22 BA20 BA18 BA16 BA14 BA12 BA10 BA8">
    <cfRule type="expression" dxfId="3466" priority="3655">
      <formula>OR(AY8="Sa",AY8="Di",BA8="F")</formula>
    </cfRule>
    <cfRule type="expression" dxfId="3465" priority="3656">
      <formula>AY8&lt;&gt;""</formula>
    </cfRule>
  </conditionalFormatting>
  <conditionalFormatting sqref="BF6">
    <cfRule type="expression" dxfId="3464" priority="3653">
      <formula>OR(BF6="Sa",BF6="Di",BH6="F")</formula>
    </cfRule>
    <cfRule type="expression" dxfId="3463" priority="3654">
      <formula>BF6&lt;&gt;""</formula>
    </cfRule>
  </conditionalFormatting>
  <conditionalFormatting sqref="BG6">
    <cfRule type="expression" dxfId="3462" priority="3651">
      <formula>OR(BF6="Sa",BF6="Di",BH6="F")</formula>
    </cfRule>
    <cfRule type="expression" dxfId="3461" priority="3652">
      <formula>BF6&lt;&gt;""</formula>
    </cfRule>
  </conditionalFormatting>
  <conditionalFormatting sqref="BH6">
    <cfRule type="expression" dxfId="3460" priority="3649">
      <formula>OR(BF6="Sa",BF6="Di",BH6="F")</formula>
    </cfRule>
    <cfRule type="expression" dxfId="3459" priority="3650">
      <formula>BF6&lt;&gt;""</formula>
    </cfRule>
  </conditionalFormatting>
  <conditionalFormatting sqref="BF66 BF64 BF62 BF60 BF58 BF56 BF54 BF52 BF50 BF48 BF46 BF44 BF42 BF40 BF38 BF36 BF34 BF32 BF30 BF28 BF26 BF24 BF22 BF20 BF18 BF16 BF14 BF12 BF10 BF8">
    <cfRule type="expression" dxfId="3458" priority="3647">
      <formula>OR(BF8="Sa",BF8="Di",BH8="F")</formula>
    </cfRule>
    <cfRule type="expression" dxfId="3457" priority="3648">
      <formula>BF8&lt;&gt;""</formula>
    </cfRule>
  </conditionalFormatting>
  <conditionalFormatting sqref="BG66 BG64 BG62 BG60 BG58 BG56 BG54 BG52 BG50 BG48 BG46 BG44 BG42 BG40 BG38 BG36 BG34 BG32 BG30 BG28 BG26 BG24 BG22 BG20 BG18 BG16 BG14 BG12 BG10 BG8">
    <cfRule type="expression" dxfId="3456" priority="3645">
      <formula>OR(BF8="Sa",BF8="Di",BH8="F")</formula>
    </cfRule>
    <cfRule type="expression" dxfId="3455" priority="3646">
      <formula>BF8&lt;&gt;""</formula>
    </cfRule>
  </conditionalFormatting>
  <conditionalFormatting sqref="BH66 BH64 BH62 BH60 BH58 BH56 BH54 BH52 BH50 BH48 BH46 BH44 BH42 BH40 BH38 BH36 BH34 BH32 BH30 BH28 BH26 BH24 BH22 BH20 BH18 BH16 BH14 BH12 BH10 BH8">
    <cfRule type="expression" dxfId="3454" priority="3643">
      <formula>OR(BF8="Sa",BF8="Di",BH8="F")</formula>
    </cfRule>
    <cfRule type="expression" dxfId="3453" priority="3644">
      <formula>BF8&lt;&gt;""</formula>
    </cfRule>
  </conditionalFormatting>
  <conditionalFormatting sqref="BM6">
    <cfRule type="expression" dxfId="3452" priority="3641">
      <formula>OR(BM6="Sa",BM6="Di",BO6="F")</formula>
    </cfRule>
    <cfRule type="expression" dxfId="3451" priority="3642">
      <formula>BM6&lt;&gt;""</formula>
    </cfRule>
  </conditionalFormatting>
  <conditionalFormatting sqref="BN6">
    <cfRule type="expression" dxfId="3450" priority="3639">
      <formula>OR(BM6="Sa",BM6="Di",BO6="F")</formula>
    </cfRule>
    <cfRule type="expression" dxfId="3449" priority="3640">
      <formula>BM6&lt;&gt;""</formula>
    </cfRule>
  </conditionalFormatting>
  <conditionalFormatting sqref="BO6">
    <cfRule type="expression" dxfId="3448" priority="3637">
      <formula>OR(BM6="Sa",BM6="Di",BO6="F")</formula>
    </cfRule>
    <cfRule type="expression" dxfId="3447" priority="3638">
      <formula>BM6&lt;&gt;""</formula>
    </cfRule>
  </conditionalFormatting>
  <conditionalFormatting sqref="BM66 BM64 BM62 BM60 BM58 BM56 BM54 BM52 BM50 BM48 BM46 BM44 BM42 BM40 BM38 BM36 BM34 BM32 BM30 BM28 BM26 BM24 BM22 BM20 BM18 BM16 BM14 BM12 BM10 BM8">
    <cfRule type="expression" dxfId="3446" priority="3635">
      <formula>OR(BM8="Sa",BM8="Di",BO8="F")</formula>
    </cfRule>
    <cfRule type="expression" dxfId="3445" priority="3636">
      <formula>BM8&lt;&gt;""</formula>
    </cfRule>
  </conditionalFormatting>
  <conditionalFormatting sqref="BN66 BN64 BN62 BN60 BN58 BN56 BN54 BN52 BN50 BN48 BN46 BN44 BN42 BN40 BN38 BN36 BN34 BN32 BN30 BN28 BN26 BN24 BN22 BN20 BN18 BN16 BN14 BN12 BN10 BN8">
    <cfRule type="expression" dxfId="3444" priority="3633">
      <formula>OR(BM8="Sa",BM8="Di",BO8="F")</formula>
    </cfRule>
    <cfRule type="expression" dxfId="3443" priority="3634">
      <formula>BM8&lt;&gt;""</formula>
    </cfRule>
  </conditionalFormatting>
  <conditionalFormatting sqref="BO66 BO64 BO62 BO60 BO58 BO56 BO54 BO52 BO50 BO48 BO46 BO44 BO42 BO40 BO38 BO36 BO34 BO32 BO30 BO28 BO26 BO24 BO22 BO20 BO18 BO16 BO14 BO12 BO10 BO8">
    <cfRule type="expression" dxfId="3442" priority="3631">
      <formula>OR(BM8="Sa",BM8="Di",BO8="F")</formula>
    </cfRule>
    <cfRule type="expression" dxfId="3441" priority="3632">
      <formula>BM8&lt;&gt;""</formula>
    </cfRule>
  </conditionalFormatting>
  <conditionalFormatting sqref="BT6">
    <cfRule type="expression" dxfId="3440" priority="3629">
      <formula>OR(BT6="Sa",BT6="Di",BV6="F")</formula>
    </cfRule>
    <cfRule type="expression" dxfId="3439" priority="3630">
      <formula>BT6&lt;&gt;""</formula>
    </cfRule>
  </conditionalFormatting>
  <conditionalFormatting sqref="BU6">
    <cfRule type="expression" dxfId="3438" priority="3627">
      <formula>OR(BT6="Sa",BT6="Di",BV6="F")</formula>
    </cfRule>
    <cfRule type="expression" dxfId="3437" priority="3628">
      <formula>BT6&lt;&gt;""</formula>
    </cfRule>
  </conditionalFormatting>
  <conditionalFormatting sqref="BV6">
    <cfRule type="expression" dxfId="3436" priority="3625">
      <formula>OR(BT6="Sa",BT6="Di",BV6="F")</formula>
    </cfRule>
    <cfRule type="expression" dxfId="3435" priority="3626">
      <formula>BT6&lt;&gt;""</formula>
    </cfRule>
  </conditionalFormatting>
  <conditionalFormatting sqref="BT66 BT64 BT62 BT60 BT58 BT56 BT54 BT52 BT50 BT48 BT46 BT44 BT42 BT40 BT38 BT36 BT34 BT32 BT30 BT28 BT26 BT24 BT22 BT20 BT18 BT16 BT14 BT12 BT10 BT8">
    <cfRule type="expression" dxfId="3434" priority="3623">
      <formula>OR(BT8="Sa",BT8="Di",BV8="F")</formula>
    </cfRule>
    <cfRule type="expression" dxfId="3433" priority="3624">
      <formula>BT8&lt;&gt;""</formula>
    </cfRule>
  </conditionalFormatting>
  <conditionalFormatting sqref="BU66 BU64 BU62 BU60 BU58 BU56 BU54 BU52 BU50 BU48 BU46 BU44 BU42 BU40 BU38 BU36 BU34 BU32 BU30 BU28 BU26 BU24 BU22 BU20 BU18 BU16 BU14 BU12 BU10 BU8">
    <cfRule type="expression" dxfId="3432" priority="3621">
      <formula>OR(BT8="Sa",BT8="Di",BV8="F")</formula>
    </cfRule>
    <cfRule type="expression" dxfId="3431" priority="3622">
      <formula>BT8&lt;&gt;""</formula>
    </cfRule>
  </conditionalFormatting>
  <conditionalFormatting sqref="BV66 BV64 BV62 BV60 BV58 BV56 BV54 BV52 BV50 BV48 BV46 BV44 BV42 BV40 BV38 BV36 BV34 BV32 BV30 BV28 BV26 BV24 BV22 BV20 BV18 BV16 BV14 BV12 BV10 BV8">
    <cfRule type="expression" dxfId="3430" priority="3619">
      <formula>OR(BT8="Sa",BT8="Di",BV8="F")</formula>
    </cfRule>
    <cfRule type="expression" dxfId="3429" priority="3620">
      <formula>BT8&lt;&gt;""</formula>
    </cfRule>
  </conditionalFormatting>
  <conditionalFormatting sqref="CA6">
    <cfRule type="expression" dxfId="3428" priority="3617">
      <formula>OR(CA6="Sa",CA6="Di",CC6="F")</formula>
    </cfRule>
    <cfRule type="expression" dxfId="3427" priority="3618">
      <formula>CA6&lt;&gt;""</formula>
    </cfRule>
  </conditionalFormatting>
  <conditionalFormatting sqref="CB6">
    <cfRule type="expression" dxfId="3426" priority="3615">
      <formula>OR(CA6="Sa",CA6="Di",CC6="F")</formula>
    </cfRule>
    <cfRule type="expression" dxfId="3425" priority="3616">
      <formula>CA6&lt;&gt;""</formula>
    </cfRule>
  </conditionalFormatting>
  <conditionalFormatting sqref="CC6">
    <cfRule type="expression" dxfId="3424" priority="3613">
      <formula>OR(CA6="Sa",CA6="Di",CC6="F")</formula>
    </cfRule>
    <cfRule type="expression" dxfId="3423" priority="3614">
      <formula>CA6&lt;&gt;""</formula>
    </cfRule>
  </conditionalFormatting>
  <conditionalFormatting sqref="CA66 CA64 CA62 CA60 CA58 CA56 CA54 CA52 CA50 CA48 CA46 CA44 CA42 CA40 CA38 CA36 CA34 CA32 CA30 CA28 CA26 CA24 CA22 CA20 CA18 CA16 CA14 CA12 CA10 CA8">
    <cfRule type="expression" dxfId="3422" priority="3611">
      <formula>OR(CA8="Sa",CA8="Di",CC8="F")</formula>
    </cfRule>
    <cfRule type="expression" dxfId="3421" priority="3612">
      <formula>CA8&lt;&gt;""</formula>
    </cfRule>
  </conditionalFormatting>
  <conditionalFormatting sqref="CB66 CB64 CB62 CB60 CB58 CB56 CB54 CB52 CB50 CB48 CB46 CB44 CB42 CB40 CB38 CB36 CB34 CB32 CB30 CB28 CB26 CB24 CB22 CB20 CB18 CB16 CB14 CB12 CB10 CB8">
    <cfRule type="expression" dxfId="3420" priority="3609">
      <formula>OR(CA8="Sa",CA8="Di",CC8="F")</formula>
    </cfRule>
    <cfRule type="expression" dxfId="3419" priority="3610">
      <formula>CA8&lt;&gt;""</formula>
    </cfRule>
  </conditionalFormatting>
  <conditionalFormatting sqref="CC66 CC64 CC62 CC60 CC58 CC56 CC54 CC52 CC50 CC48 CC46 CC44 CC42 CC40 CC38 CC36 CC34 CC32 CC30 CC28 CC26 CC24 CC22 CC20 CC18 CC16 CC14 CC12 CC10 CC8">
    <cfRule type="expression" dxfId="3418" priority="3607">
      <formula>OR(CA8="Sa",CA8="Di",CC8="F")</formula>
    </cfRule>
    <cfRule type="expression" dxfId="3417" priority="3608">
      <formula>CA8&lt;&gt;""</formula>
    </cfRule>
  </conditionalFormatting>
  <conditionalFormatting sqref="F6">
    <cfRule type="cellIs" dxfId="3416" priority="3604" operator="equal">
      <formula>" "</formula>
    </cfRule>
    <cfRule type="expression" dxfId="3415" priority="3605">
      <formula>OR(B6="Sa",B6="Di",D6="F")</formula>
    </cfRule>
    <cfRule type="expression" dxfId="3414" priority="3606">
      <formula>C6&lt;&gt;""</formula>
    </cfRule>
  </conditionalFormatting>
  <conditionalFormatting sqref="P2 AW2">
    <cfRule type="expression" dxfId="3413" priority="3602">
      <formula>$W$2&lt;&gt;""</formula>
    </cfRule>
  </conditionalFormatting>
  <conditionalFormatting sqref="CA4 BT4 BM4 BF4 AY4 AR4 AK4 AD4 W4 P4 I4">
    <cfRule type="expression" dxfId="3412" priority="3601">
      <formula>I4&lt;&gt;""</formula>
    </cfRule>
  </conditionalFormatting>
  <conditionalFormatting sqref="BY26">
    <cfRule type="cellIs" dxfId="3411" priority="721" operator="equal">
      <formula>" "</formula>
    </cfRule>
    <cfRule type="expression" dxfId="3410" priority="727">
      <formula>OR(BT26="Sa",BT26="Di",BV26="F")</formula>
    </cfRule>
    <cfRule type="expression" dxfId="3409" priority="728">
      <formula>BT26&lt;&gt;""</formula>
    </cfRule>
  </conditionalFormatting>
  <conditionalFormatting sqref="BW26">
    <cfRule type="cellIs" dxfId="3408" priority="725" operator="equal">
      <formula>" "</formula>
    </cfRule>
    <cfRule type="expression" dxfId="3407" priority="726">
      <formula>OR(BT26="Sa",BT26="Di",BV26="F")</formula>
    </cfRule>
    <cfRule type="expression" dxfId="3406" priority="729">
      <formula>BT26&lt;&gt;""</formula>
    </cfRule>
  </conditionalFormatting>
  <conditionalFormatting sqref="BX26">
    <cfRule type="cellIs" dxfId="3405" priority="722" operator="equal">
      <formula>" "</formula>
    </cfRule>
    <cfRule type="expression" dxfId="3404" priority="723">
      <formula>OR(BT26="Sa",BT26="Di",BV26="F")</formula>
    </cfRule>
    <cfRule type="expression" dxfId="3403" priority="724">
      <formula>BU26&lt;&gt;""</formula>
    </cfRule>
  </conditionalFormatting>
  <conditionalFormatting sqref="BY28">
    <cfRule type="cellIs" dxfId="3402" priority="712" operator="equal">
      <formula>" "</formula>
    </cfRule>
    <cfRule type="expression" dxfId="3401" priority="718">
      <formula>OR(BT28="Sa",BT28="Di",BV28="F")</formula>
    </cfRule>
    <cfRule type="expression" dxfId="3400" priority="719">
      <formula>BT28&lt;&gt;""</formula>
    </cfRule>
  </conditionalFormatting>
  <conditionalFormatting sqref="BW28">
    <cfRule type="cellIs" dxfId="3399" priority="716" operator="equal">
      <formula>" "</formula>
    </cfRule>
    <cfRule type="expression" dxfId="3398" priority="717">
      <formula>OR(BT28="Sa",BT28="Di",BV28="F")</formula>
    </cfRule>
    <cfRule type="expression" dxfId="3397" priority="720">
      <formula>BT28&lt;&gt;""</formula>
    </cfRule>
  </conditionalFormatting>
  <conditionalFormatting sqref="BX28">
    <cfRule type="cellIs" dxfId="3396" priority="713" operator="equal">
      <formula>" "</formula>
    </cfRule>
    <cfRule type="expression" dxfId="3395" priority="714">
      <formula>OR(BT28="Sa",BT28="Di",BV28="F")</formula>
    </cfRule>
    <cfRule type="expression" dxfId="3394" priority="715">
      <formula>BU28&lt;&gt;""</formula>
    </cfRule>
  </conditionalFormatting>
  <conditionalFormatting sqref="BR30">
    <cfRule type="cellIs" dxfId="3393" priority="982" operator="equal">
      <formula>" "</formula>
    </cfRule>
    <cfRule type="expression" dxfId="3392" priority="988">
      <formula>OR(BM30="Sa",BM30="Di",BO30="F")</formula>
    </cfRule>
    <cfRule type="expression" dxfId="3391" priority="989">
      <formula>BM30&lt;&gt;""</formula>
    </cfRule>
  </conditionalFormatting>
  <conditionalFormatting sqref="BP30">
    <cfRule type="cellIs" dxfId="3390" priority="986" operator="equal">
      <formula>" "</formula>
    </cfRule>
    <cfRule type="expression" dxfId="3389" priority="987">
      <formula>OR(BM30="Sa",BM30="Di",BO30="F")</formula>
    </cfRule>
    <cfRule type="expression" dxfId="3388" priority="990">
      <formula>BM30&lt;&gt;""</formula>
    </cfRule>
  </conditionalFormatting>
  <conditionalFormatting sqref="BQ30">
    <cfRule type="cellIs" dxfId="3387" priority="983" operator="equal">
      <formula>" "</formula>
    </cfRule>
    <cfRule type="expression" dxfId="3386" priority="984">
      <formula>OR(BM30="Sa",BM30="Di",BO30="F")</formula>
    </cfRule>
    <cfRule type="expression" dxfId="3385" priority="985">
      <formula>BN30&lt;&gt;""</formula>
    </cfRule>
  </conditionalFormatting>
  <conditionalFormatting sqref="BR32">
    <cfRule type="cellIs" dxfId="3384" priority="973" operator="equal">
      <formula>" "</formula>
    </cfRule>
    <cfRule type="expression" dxfId="3383" priority="979">
      <formula>OR(BM32="Sa",BM32="Di",BO32="F")</formula>
    </cfRule>
    <cfRule type="expression" dxfId="3382" priority="980">
      <formula>BM32&lt;&gt;""</formula>
    </cfRule>
  </conditionalFormatting>
  <conditionalFormatting sqref="BP32">
    <cfRule type="cellIs" dxfId="3381" priority="977" operator="equal">
      <formula>" "</formula>
    </cfRule>
    <cfRule type="expression" dxfId="3380" priority="978">
      <formula>OR(BM32="Sa",BM32="Di",BO32="F")</formula>
    </cfRule>
    <cfRule type="expression" dxfId="3379" priority="981">
      <formula>BM32&lt;&gt;""</formula>
    </cfRule>
  </conditionalFormatting>
  <conditionalFormatting sqref="BQ32">
    <cfRule type="cellIs" dxfId="3378" priority="974" operator="equal">
      <formula>" "</formula>
    </cfRule>
    <cfRule type="expression" dxfId="3377" priority="975">
      <formula>OR(BM32="Sa",BM32="Di",BO32="F")</formula>
    </cfRule>
    <cfRule type="expression" dxfId="3376" priority="976">
      <formula>BN32&lt;&gt;""</formula>
    </cfRule>
  </conditionalFormatting>
  <conditionalFormatting sqref="BK34">
    <cfRule type="cellIs" dxfId="3375" priority="1243" operator="equal">
      <formula>" "</formula>
    </cfRule>
    <cfRule type="expression" dxfId="3374" priority="1249">
      <formula>OR(BF34="Sa",BF34="Di",BH34="F")</formula>
    </cfRule>
    <cfRule type="expression" dxfId="3373" priority="1250">
      <formula>BF34&lt;&gt;""</formula>
    </cfRule>
  </conditionalFormatting>
  <conditionalFormatting sqref="BI34">
    <cfRule type="cellIs" dxfId="3372" priority="1247" operator="equal">
      <formula>" "</formula>
    </cfRule>
    <cfRule type="expression" dxfId="3371" priority="1248">
      <formula>OR(BF34="Sa",BF34="Di",BH34="F")</formula>
    </cfRule>
    <cfRule type="expression" dxfId="3370" priority="1251">
      <formula>BF34&lt;&gt;""</formula>
    </cfRule>
  </conditionalFormatting>
  <conditionalFormatting sqref="BJ34">
    <cfRule type="cellIs" dxfId="3369" priority="1244" operator="equal">
      <formula>" "</formula>
    </cfRule>
    <cfRule type="expression" dxfId="3368" priority="1245">
      <formula>OR(BF34="Sa",BF34="Di",BH34="F")</formula>
    </cfRule>
    <cfRule type="expression" dxfId="3367" priority="1246">
      <formula>BG34&lt;&gt;""</formula>
    </cfRule>
  </conditionalFormatting>
  <conditionalFormatting sqref="BK36">
    <cfRule type="cellIs" dxfId="3366" priority="1234" operator="equal">
      <formula>" "</formula>
    </cfRule>
    <cfRule type="expression" dxfId="3365" priority="1240">
      <formula>OR(BF36="Sa",BF36="Di",BH36="F")</formula>
    </cfRule>
    <cfRule type="expression" dxfId="3364" priority="1241">
      <formula>BF36&lt;&gt;""</formula>
    </cfRule>
  </conditionalFormatting>
  <conditionalFormatting sqref="BI36">
    <cfRule type="cellIs" dxfId="3363" priority="1238" operator="equal">
      <formula>" "</formula>
    </cfRule>
    <cfRule type="expression" dxfId="3362" priority="1239">
      <formula>OR(BF36="Sa",BF36="Di",BH36="F")</formula>
    </cfRule>
    <cfRule type="expression" dxfId="3361" priority="1242">
      <formula>BF36&lt;&gt;""</formula>
    </cfRule>
  </conditionalFormatting>
  <conditionalFormatting sqref="BJ36">
    <cfRule type="cellIs" dxfId="3360" priority="1235" operator="equal">
      <formula>" "</formula>
    </cfRule>
    <cfRule type="expression" dxfId="3359" priority="1236">
      <formula>OR(BF36="Sa",BF36="Di",BH36="F")</formula>
    </cfRule>
    <cfRule type="expression" dxfId="3358" priority="1237">
      <formula>BG36&lt;&gt;""</formula>
    </cfRule>
  </conditionalFormatting>
  <conditionalFormatting sqref="BD38">
    <cfRule type="cellIs" dxfId="3357" priority="1504" operator="equal">
      <formula>" "</formula>
    </cfRule>
    <cfRule type="expression" dxfId="3356" priority="1510">
      <formula>OR(AY38="Sa",AY38="Di",BA38="F")</formula>
    </cfRule>
    <cfRule type="expression" dxfId="3355" priority="1511">
      <formula>AY38&lt;&gt;""</formula>
    </cfRule>
  </conditionalFormatting>
  <conditionalFormatting sqref="BB38">
    <cfRule type="cellIs" dxfId="3354" priority="1508" operator="equal">
      <formula>" "</formula>
    </cfRule>
    <cfRule type="expression" dxfId="3353" priority="1509">
      <formula>OR(AY38="Sa",AY38="Di",BA38="F")</formula>
    </cfRule>
    <cfRule type="expression" dxfId="3352" priority="1512">
      <formula>AY38&lt;&gt;""</formula>
    </cfRule>
  </conditionalFormatting>
  <conditionalFormatting sqref="BC38">
    <cfRule type="cellIs" dxfId="3351" priority="1505" operator="equal">
      <formula>" "</formula>
    </cfRule>
    <cfRule type="expression" dxfId="3350" priority="1506">
      <formula>OR(AY38="Sa",AY38="Di",BA38="F")</formula>
    </cfRule>
    <cfRule type="expression" dxfId="3349" priority="1507">
      <formula>AZ38&lt;&gt;""</formula>
    </cfRule>
  </conditionalFormatting>
  <conditionalFormatting sqref="BD40">
    <cfRule type="cellIs" dxfId="3348" priority="1495" operator="equal">
      <formula>" "</formula>
    </cfRule>
    <cfRule type="expression" dxfId="3347" priority="1501">
      <formula>OR(AY40="Sa",AY40="Di",BA40="F")</formula>
    </cfRule>
    <cfRule type="expression" dxfId="3346" priority="1502">
      <formula>AY40&lt;&gt;""</formula>
    </cfRule>
  </conditionalFormatting>
  <conditionalFormatting sqref="BB40">
    <cfRule type="cellIs" dxfId="3345" priority="1499" operator="equal">
      <formula>" "</formula>
    </cfRule>
    <cfRule type="expression" dxfId="3344" priority="1500">
      <formula>OR(AY40="Sa",AY40="Di",BA40="F")</formula>
    </cfRule>
    <cfRule type="expression" dxfId="3343" priority="1503">
      <formula>AY40&lt;&gt;""</formula>
    </cfRule>
  </conditionalFormatting>
  <conditionalFormatting sqref="BC40">
    <cfRule type="cellIs" dxfId="3342" priority="1496" operator="equal">
      <formula>" "</formula>
    </cfRule>
    <cfRule type="expression" dxfId="3341" priority="1497">
      <formula>OR(AY40="Sa",AY40="Di",BA40="F")</formula>
    </cfRule>
    <cfRule type="expression" dxfId="3340" priority="1498">
      <formula>AZ40&lt;&gt;""</formula>
    </cfRule>
  </conditionalFormatting>
  <conditionalFormatting sqref="AW42">
    <cfRule type="cellIs" dxfId="3339" priority="1765" operator="equal">
      <formula>" "</formula>
    </cfRule>
    <cfRule type="expression" dxfId="3338" priority="1771">
      <formula>OR(AR42="Sa",AR42="Di",AT42="F")</formula>
    </cfRule>
    <cfRule type="expression" dxfId="3337" priority="1772">
      <formula>AR42&lt;&gt;""</formula>
    </cfRule>
  </conditionalFormatting>
  <conditionalFormatting sqref="AU42">
    <cfRule type="cellIs" dxfId="3336" priority="1769" operator="equal">
      <formula>" "</formula>
    </cfRule>
    <cfRule type="expression" dxfId="3335" priority="1770">
      <formula>OR(AR42="Sa",AR42="Di",AT42="F")</formula>
    </cfRule>
    <cfRule type="expression" dxfId="3334" priority="1773">
      <formula>AR42&lt;&gt;""</formula>
    </cfRule>
  </conditionalFormatting>
  <conditionalFormatting sqref="AV42">
    <cfRule type="cellIs" dxfId="3333" priority="1766" operator="equal">
      <formula>" "</formula>
    </cfRule>
    <cfRule type="expression" dxfId="3332" priority="1767">
      <formula>OR(AR42="Sa",AR42="Di",AT42="F")</formula>
    </cfRule>
    <cfRule type="expression" dxfId="3331" priority="1768">
      <formula>AS42&lt;&gt;""</formula>
    </cfRule>
  </conditionalFormatting>
  <conditionalFormatting sqref="AW44">
    <cfRule type="cellIs" dxfId="3330" priority="1756" operator="equal">
      <formula>" "</formula>
    </cfRule>
    <cfRule type="expression" dxfId="3329" priority="1762">
      <formula>OR(AR44="Sa",AR44="Di",AT44="F")</formula>
    </cfRule>
    <cfRule type="expression" dxfId="3328" priority="1763">
      <formula>AR44&lt;&gt;""</formula>
    </cfRule>
  </conditionalFormatting>
  <conditionalFormatting sqref="AU44">
    <cfRule type="cellIs" dxfId="3327" priority="1760" operator="equal">
      <formula>" "</formula>
    </cfRule>
    <cfRule type="expression" dxfId="3326" priority="1761">
      <formula>OR(AR44="Sa",AR44="Di",AT44="F")</formula>
    </cfRule>
    <cfRule type="expression" dxfId="3325" priority="1764">
      <formula>AR44&lt;&gt;""</formula>
    </cfRule>
  </conditionalFormatting>
  <conditionalFormatting sqref="AV44">
    <cfRule type="cellIs" dxfId="3324" priority="1757" operator="equal">
      <formula>" "</formula>
    </cfRule>
    <cfRule type="expression" dxfId="3323" priority="1758">
      <formula>OR(AR44="Sa",AR44="Di",AT44="F")</formula>
    </cfRule>
    <cfRule type="expression" dxfId="3322" priority="1759">
      <formula>AS44&lt;&gt;""</formula>
    </cfRule>
  </conditionalFormatting>
  <conditionalFormatting sqref="AP46">
    <cfRule type="cellIs" dxfId="3321" priority="2026" operator="equal">
      <formula>" "</formula>
    </cfRule>
    <cfRule type="expression" dxfId="3320" priority="2032">
      <formula>OR(AK46="Sa",AK46="Di",AM46="F")</formula>
    </cfRule>
    <cfRule type="expression" dxfId="3319" priority="2033">
      <formula>AK46&lt;&gt;""</formula>
    </cfRule>
  </conditionalFormatting>
  <conditionalFormatting sqref="AN46">
    <cfRule type="cellIs" dxfId="3318" priority="2030" operator="equal">
      <formula>" "</formula>
    </cfRule>
    <cfRule type="expression" dxfId="3317" priority="2031">
      <formula>OR(AK46="Sa",AK46="Di",AM46="F")</formula>
    </cfRule>
    <cfRule type="expression" dxfId="3316" priority="2034">
      <formula>AK46&lt;&gt;""</formula>
    </cfRule>
  </conditionalFormatting>
  <conditionalFormatting sqref="AO46">
    <cfRule type="cellIs" dxfId="3315" priority="2027" operator="equal">
      <formula>" "</formula>
    </cfRule>
    <cfRule type="expression" dxfId="3314" priority="2028">
      <formula>OR(AK46="Sa",AK46="Di",AM46="F")</formula>
    </cfRule>
    <cfRule type="expression" dxfId="3313" priority="2029">
      <formula>AL46&lt;&gt;""</formula>
    </cfRule>
  </conditionalFormatting>
  <conditionalFormatting sqref="AP48">
    <cfRule type="cellIs" dxfId="3312" priority="2017" operator="equal">
      <formula>" "</formula>
    </cfRule>
    <cfRule type="expression" dxfId="3311" priority="2023">
      <formula>OR(AK48="Sa",AK48="Di",AM48="F")</formula>
    </cfRule>
    <cfRule type="expression" dxfId="3310" priority="2024">
      <formula>AK48&lt;&gt;""</formula>
    </cfRule>
  </conditionalFormatting>
  <conditionalFormatting sqref="AN48">
    <cfRule type="cellIs" dxfId="3309" priority="2021" operator="equal">
      <formula>" "</formula>
    </cfRule>
    <cfRule type="expression" dxfId="3308" priority="2022">
      <formula>OR(AK48="Sa",AK48="Di",AM48="F")</formula>
    </cfRule>
    <cfRule type="expression" dxfId="3307" priority="2025">
      <formula>AK48&lt;&gt;""</formula>
    </cfRule>
  </conditionalFormatting>
  <conditionalFormatting sqref="AO48">
    <cfRule type="cellIs" dxfId="3306" priority="2018" operator="equal">
      <formula>" "</formula>
    </cfRule>
    <cfRule type="expression" dxfId="3305" priority="2019">
      <formula>OR(AK48="Sa",AK48="Di",AM48="F")</formula>
    </cfRule>
    <cfRule type="expression" dxfId="3304" priority="2020">
      <formula>AL48&lt;&gt;""</formula>
    </cfRule>
  </conditionalFormatting>
  <conditionalFormatting sqref="AI50">
    <cfRule type="cellIs" dxfId="3303" priority="2287" operator="equal">
      <formula>" "</formula>
    </cfRule>
    <cfRule type="expression" dxfId="3302" priority="2293">
      <formula>OR(AD50="Sa",AD50="Di",AF50="F")</formula>
    </cfRule>
    <cfRule type="expression" dxfId="3301" priority="2294">
      <formula>AD50&lt;&gt;""</formula>
    </cfRule>
  </conditionalFormatting>
  <conditionalFormatting sqref="AG50">
    <cfRule type="cellIs" dxfId="3300" priority="2291" operator="equal">
      <formula>" "</formula>
    </cfRule>
    <cfRule type="expression" dxfId="3299" priority="2292">
      <formula>OR(AD50="Sa",AD50="Di",AF50="F")</formula>
    </cfRule>
    <cfRule type="expression" dxfId="3298" priority="2295">
      <formula>AD50&lt;&gt;""</formula>
    </cfRule>
  </conditionalFormatting>
  <conditionalFormatting sqref="AH50">
    <cfRule type="cellIs" dxfId="3297" priority="2288" operator="equal">
      <formula>" "</formula>
    </cfRule>
    <cfRule type="expression" dxfId="3296" priority="2289">
      <formula>OR(AD50="Sa",AD50="Di",AF50="F")</formula>
    </cfRule>
    <cfRule type="expression" dxfId="3295" priority="2290">
      <formula>AE50&lt;&gt;""</formula>
    </cfRule>
  </conditionalFormatting>
  <conditionalFormatting sqref="AI52">
    <cfRule type="cellIs" dxfId="3294" priority="2278" operator="equal">
      <formula>" "</formula>
    </cfRule>
    <cfRule type="expression" dxfId="3293" priority="2284">
      <formula>OR(AD52="Sa",AD52="Di",AF52="F")</formula>
    </cfRule>
    <cfRule type="expression" dxfId="3292" priority="2285">
      <formula>AD52&lt;&gt;""</formula>
    </cfRule>
  </conditionalFormatting>
  <conditionalFormatting sqref="AG52">
    <cfRule type="cellIs" dxfId="3291" priority="2282" operator="equal">
      <formula>" "</formula>
    </cfRule>
    <cfRule type="expression" dxfId="3290" priority="2283">
      <formula>OR(AD52="Sa",AD52="Di",AF52="F")</formula>
    </cfRule>
    <cfRule type="expression" dxfId="3289" priority="2286">
      <formula>AD52&lt;&gt;""</formula>
    </cfRule>
  </conditionalFormatting>
  <conditionalFormatting sqref="AH52">
    <cfRule type="cellIs" dxfId="3288" priority="2279" operator="equal">
      <formula>" "</formula>
    </cfRule>
    <cfRule type="expression" dxfId="3287" priority="2280">
      <formula>OR(AD52="Sa",AD52="Di",AF52="F")</formula>
    </cfRule>
    <cfRule type="expression" dxfId="3286" priority="2281">
      <formula>AE52&lt;&gt;""</formula>
    </cfRule>
  </conditionalFormatting>
  <conditionalFormatting sqref="AB54">
    <cfRule type="cellIs" dxfId="3285" priority="2548" operator="equal">
      <formula>" "</formula>
    </cfRule>
    <cfRule type="expression" dxfId="3284" priority="2554">
      <formula>OR(W54="Sa",W54="Di",Y54="F")</formula>
    </cfRule>
    <cfRule type="expression" dxfId="3283" priority="2555">
      <formula>W54&lt;&gt;""</formula>
    </cfRule>
  </conditionalFormatting>
  <conditionalFormatting sqref="Z54">
    <cfRule type="cellIs" dxfId="3282" priority="2552" operator="equal">
      <formula>" "</formula>
    </cfRule>
    <cfRule type="expression" dxfId="3281" priority="2553">
      <formula>OR(W54="Sa",W54="Di",Y54="F")</formula>
    </cfRule>
    <cfRule type="expression" dxfId="3280" priority="2556">
      <formula>W54&lt;&gt;""</formula>
    </cfRule>
  </conditionalFormatting>
  <conditionalFormatting sqref="AA54">
    <cfRule type="cellIs" dxfId="3279" priority="2549" operator="equal">
      <formula>" "</formula>
    </cfRule>
    <cfRule type="expression" dxfId="3278" priority="2550">
      <formula>OR(W54="Sa",W54="Di",Y54="F")</formula>
    </cfRule>
    <cfRule type="expression" dxfId="3277" priority="2551">
      <formula>X54&lt;&gt;""</formula>
    </cfRule>
  </conditionalFormatting>
  <conditionalFormatting sqref="AB56">
    <cfRule type="cellIs" dxfId="3276" priority="2539" operator="equal">
      <formula>" "</formula>
    </cfRule>
    <cfRule type="expression" dxfId="3275" priority="2545">
      <formula>OR(W56="Sa",W56="Di",Y56="F")</formula>
    </cfRule>
    <cfRule type="expression" dxfId="3274" priority="2546">
      <formula>W56&lt;&gt;""</formula>
    </cfRule>
  </conditionalFormatting>
  <conditionalFormatting sqref="Z56">
    <cfRule type="cellIs" dxfId="3273" priority="2543" operator="equal">
      <formula>" "</formula>
    </cfRule>
    <cfRule type="expression" dxfId="3272" priority="2544">
      <formula>OR(W56="Sa",W56="Di",Y56="F")</formula>
    </cfRule>
    <cfRule type="expression" dxfId="3271" priority="2547">
      <formula>W56&lt;&gt;""</formula>
    </cfRule>
  </conditionalFormatting>
  <conditionalFormatting sqref="AA56">
    <cfRule type="cellIs" dxfId="3270" priority="2540" operator="equal">
      <formula>" "</formula>
    </cfRule>
    <cfRule type="expression" dxfId="3269" priority="2541">
      <formula>OR(W56="Sa",W56="Di",Y56="F")</formula>
    </cfRule>
    <cfRule type="expression" dxfId="3268" priority="2542">
      <formula>X56&lt;&gt;""</formula>
    </cfRule>
  </conditionalFormatting>
  <conditionalFormatting sqref="U58">
    <cfRule type="cellIs" dxfId="3267" priority="2809" operator="equal">
      <formula>" "</formula>
    </cfRule>
    <cfRule type="expression" dxfId="3266" priority="2815">
      <formula>OR(P58="Sa",P58="Di",R58="F")</formula>
    </cfRule>
    <cfRule type="expression" dxfId="3265" priority="2816">
      <formula>P58&lt;&gt;""</formula>
    </cfRule>
  </conditionalFormatting>
  <conditionalFormatting sqref="S58">
    <cfRule type="cellIs" dxfId="3264" priority="2813" operator="equal">
      <formula>" "</formula>
    </cfRule>
    <cfRule type="expression" dxfId="3263" priority="2814">
      <formula>OR(P58="Sa",P58="Di",R58="F")</formula>
    </cfRule>
    <cfRule type="expression" dxfId="3262" priority="2817">
      <formula>P58&lt;&gt;""</formula>
    </cfRule>
  </conditionalFormatting>
  <conditionalFormatting sqref="T58">
    <cfRule type="cellIs" dxfId="3261" priority="2810" operator="equal">
      <formula>" "</formula>
    </cfRule>
    <cfRule type="expression" dxfId="3260" priority="2811">
      <formula>OR(P58="Sa",P58="Di",R58="F")</formula>
    </cfRule>
    <cfRule type="expression" dxfId="3259" priority="2812">
      <formula>Q58&lt;&gt;""</formula>
    </cfRule>
  </conditionalFormatting>
  <conditionalFormatting sqref="U60">
    <cfRule type="cellIs" dxfId="3258" priority="2800" operator="equal">
      <formula>" "</formula>
    </cfRule>
    <cfRule type="expression" dxfId="3257" priority="2806">
      <formula>OR(P60="Sa",P60="Di",R60="F")</formula>
    </cfRule>
    <cfRule type="expression" dxfId="3256" priority="2807">
      <formula>P60&lt;&gt;""</formula>
    </cfRule>
  </conditionalFormatting>
  <conditionalFormatting sqref="S60">
    <cfRule type="cellIs" dxfId="3255" priority="2804" operator="equal">
      <formula>" "</formula>
    </cfRule>
    <cfRule type="expression" dxfId="3254" priority="2805">
      <formula>OR(P60="Sa",P60="Di",R60="F")</formula>
    </cfRule>
    <cfRule type="expression" dxfId="3253" priority="2808">
      <formula>P60&lt;&gt;""</formula>
    </cfRule>
  </conditionalFormatting>
  <conditionalFormatting sqref="T60">
    <cfRule type="cellIs" dxfId="3252" priority="2801" operator="equal">
      <formula>" "</formula>
    </cfRule>
    <cfRule type="expression" dxfId="3251" priority="2802">
      <formula>OR(P60="Sa",P60="Di",R60="F")</formula>
    </cfRule>
    <cfRule type="expression" dxfId="3250" priority="2803">
      <formula>Q60&lt;&gt;""</formula>
    </cfRule>
  </conditionalFormatting>
  <conditionalFormatting sqref="N62">
    <cfRule type="cellIs" dxfId="3249" priority="3070" operator="equal">
      <formula>" "</formula>
    </cfRule>
    <cfRule type="expression" dxfId="3248" priority="3076">
      <formula>OR(I62="Sa",I62="Di",K62="F")</formula>
    </cfRule>
    <cfRule type="expression" dxfId="3247" priority="3077">
      <formula>I62&lt;&gt;""</formula>
    </cfRule>
  </conditionalFormatting>
  <conditionalFormatting sqref="L62">
    <cfRule type="cellIs" dxfId="3246" priority="3074" operator="equal">
      <formula>" "</formula>
    </cfRule>
    <cfRule type="expression" dxfId="3245" priority="3075">
      <formula>OR(I62="Sa",I62="Di",K62="F")</formula>
    </cfRule>
    <cfRule type="expression" dxfId="3244" priority="3078">
      <formula>I62&lt;&gt;""</formula>
    </cfRule>
  </conditionalFormatting>
  <conditionalFormatting sqref="M62">
    <cfRule type="cellIs" dxfId="3243" priority="3071" operator="equal">
      <formula>" "</formula>
    </cfRule>
    <cfRule type="expression" dxfId="3242" priority="3072">
      <formula>OR(I62="Sa",I62="Di",K62="F")</formula>
    </cfRule>
    <cfRule type="expression" dxfId="3241" priority="3073">
      <formula>J62&lt;&gt;""</formula>
    </cfRule>
  </conditionalFormatting>
  <conditionalFormatting sqref="N64">
    <cfRule type="cellIs" dxfId="3240" priority="3061" operator="equal">
      <formula>" "</formula>
    </cfRule>
    <cfRule type="expression" dxfId="3239" priority="3067">
      <formula>OR(I64="Sa",I64="Di",K64="F")</formula>
    </cfRule>
    <cfRule type="expression" dxfId="3238" priority="3068">
      <formula>I64&lt;&gt;""</formula>
    </cfRule>
  </conditionalFormatting>
  <conditionalFormatting sqref="L64">
    <cfRule type="cellIs" dxfId="3237" priority="3065" operator="equal">
      <formula>" "</formula>
    </cfRule>
    <cfRule type="expression" dxfId="3236" priority="3066">
      <formula>OR(I64="Sa",I64="Di",K64="F")</formula>
    </cfRule>
    <cfRule type="expression" dxfId="3235" priority="3069">
      <formula>I64&lt;&gt;""</formula>
    </cfRule>
  </conditionalFormatting>
  <conditionalFormatting sqref="M64">
    <cfRule type="cellIs" dxfId="3234" priority="3062" operator="equal">
      <formula>" "</formula>
    </cfRule>
    <cfRule type="expression" dxfId="3233" priority="3063">
      <formula>OR(I64="Sa",I64="Di",K64="F")</formula>
    </cfRule>
    <cfRule type="expression" dxfId="3232" priority="3064">
      <formula>J64&lt;&gt;""</formula>
    </cfRule>
  </conditionalFormatting>
  <conditionalFormatting sqref="N6">
    <cfRule type="cellIs" dxfId="3231" priority="3322" operator="equal">
      <formula>" "</formula>
    </cfRule>
    <cfRule type="expression" dxfId="3230" priority="3328">
      <formula>OR(I6="Sa",I6="Di",K6="F")</formula>
    </cfRule>
    <cfRule type="expression" dxfId="3229" priority="3329">
      <formula>I6&lt;&gt;""</formula>
    </cfRule>
  </conditionalFormatting>
  <conditionalFormatting sqref="L6">
    <cfRule type="cellIs" dxfId="3228" priority="3326" operator="equal">
      <formula>" "</formula>
    </cfRule>
    <cfRule type="expression" dxfId="3227" priority="3327">
      <formula>OR(I6="Sa",I6="Di",K6="F")</formula>
    </cfRule>
    <cfRule type="expression" dxfId="3226" priority="3330">
      <formula>I6&lt;&gt;""</formula>
    </cfRule>
  </conditionalFormatting>
  <conditionalFormatting sqref="M6">
    <cfRule type="cellIs" dxfId="3225" priority="3323" operator="equal">
      <formula>" "</formula>
    </cfRule>
    <cfRule type="expression" dxfId="3224" priority="3324">
      <formula>OR(I6="Sa",I6="Di",K6="F")</formula>
    </cfRule>
    <cfRule type="expression" dxfId="3223" priority="3325">
      <formula>J6&lt;&gt;""</formula>
    </cfRule>
  </conditionalFormatting>
  <conditionalFormatting sqref="G8">
    <cfRule type="cellIs" dxfId="3222" priority="3592" operator="equal">
      <formula>" "</formula>
    </cfRule>
    <cfRule type="expression" dxfId="3221" priority="3598">
      <formula>OR(B8="Sa",B8="Di",D8="F")</formula>
    </cfRule>
    <cfRule type="expression" dxfId="3220" priority="3599">
      <formula>B8&lt;&gt;""</formula>
    </cfRule>
  </conditionalFormatting>
  <conditionalFormatting sqref="E8">
    <cfRule type="cellIs" dxfId="3219" priority="3596" operator="equal">
      <formula>" "</formula>
    </cfRule>
    <cfRule type="expression" dxfId="3218" priority="3597">
      <formula>OR(B8="Sa",B8="Di",D8="F")</formula>
    </cfRule>
    <cfRule type="expression" dxfId="3217" priority="3600">
      <formula>B8&lt;&gt;""</formula>
    </cfRule>
  </conditionalFormatting>
  <conditionalFormatting sqref="F8">
    <cfRule type="cellIs" dxfId="3216" priority="3593" operator="equal">
      <formula>" "</formula>
    </cfRule>
    <cfRule type="expression" dxfId="3215" priority="3594">
      <formula>OR(B8="Sa",B8="Di",D8="F")</formula>
    </cfRule>
    <cfRule type="expression" dxfId="3214" priority="3595">
      <formula>C8&lt;&gt;""</formula>
    </cfRule>
  </conditionalFormatting>
  <conditionalFormatting sqref="N8">
    <cfRule type="cellIs" dxfId="3213" priority="3313" operator="equal">
      <formula>" "</formula>
    </cfRule>
    <cfRule type="expression" dxfId="3212" priority="3319">
      <formula>OR(I8="Sa",I8="Di",K8="F")</formula>
    </cfRule>
    <cfRule type="expression" dxfId="3211" priority="3320">
      <formula>I8&lt;&gt;""</formula>
    </cfRule>
  </conditionalFormatting>
  <conditionalFormatting sqref="L8">
    <cfRule type="cellIs" dxfId="3210" priority="3317" operator="equal">
      <formula>" "</formula>
    </cfRule>
    <cfRule type="expression" dxfId="3209" priority="3318">
      <formula>OR(I8="Sa",I8="Di",K8="F")</formula>
    </cfRule>
    <cfRule type="expression" dxfId="3208" priority="3321">
      <formula>I8&lt;&gt;""</formula>
    </cfRule>
  </conditionalFormatting>
  <conditionalFormatting sqref="M8">
    <cfRule type="cellIs" dxfId="3207" priority="3314" operator="equal">
      <formula>" "</formula>
    </cfRule>
    <cfRule type="expression" dxfId="3206" priority="3315">
      <formula>OR(I8="Sa",I8="Di",K8="F")</formula>
    </cfRule>
    <cfRule type="expression" dxfId="3205" priority="3316">
      <formula>J8&lt;&gt;""</formula>
    </cfRule>
  </conditionalFormatting>
  <conditionalFormatting sqref="N10">
    <cfRule type="cellIs" dxfId="3204" priority="3304" operator="equal">
      <formula>" "</formula>
    </cfRule>
    <cfRule type="expression" dxfId="3203" priority="3310">
      <formula>OR(I10="Sa",I10="Di",K10="F")</formula>
    </cfRule>
    <cfRule type="expression" dxfId="3202" priority="3311">
      <formula>I10&lt;&gt;""</formula>
    </cfRule>
  </conditionalFormatting>
  <conditionalFormatting sqref="L10">
    <cfRule type="cellIs" dxfId="3201" priority="3308" operator="equal">
      <formula>" "</formula>
    </cfRule>
    <cfRule type="expression" dxfId="3200" priority="3309">
      <formula>OR(I10="Sa",I10="Di",K10="F")</formula>
    </cfRule>
    <cfRule type="expression" dxfId="3199" priority="3312">
      <formula>I10&lt;&gt;""</formula>
    </cfRule>
  </conditionalFormatting>
  <conditionalFormatting sqref="M10">
    <cfRule type="cellIs" dxfId="3198" priority="3305" operator="equal">
      <formula>" "</formula>
    </cfRule>
    <cfRule type="expression" dxfId="3197" priority="3306">
      <formula>OR(I10="Sa",I10="Di",K10="F")</formula>
    </cfRule>
    <cfRule type="expression" dxfId="3196" priority="3307">
      <formula>J10&lt;&gt;""</formula>
    </cfRule>
  </conditionalFormatting>
  <conditionalFormatting sqref="N12">
    <cfRule type="cellIs" dxfId="3195" priority="3295" operator="equal">
      <formula>" "</formula>
    </cfRule>
    <cfRule type="expression" dxfId="3194" priority="3301">
      <formula>OR(I12="Sa",I12="Di",K12="F")</formula>
    </cfRule>
    <cfRule type="expression" dxfId="3193" priority="3302">
      <formula>I12&lt;&gt;""</formula>
    </cfRule>
  </conditionalFormatting>
  <conditionalFormatting sqref="L12">
    <cfRule type="cellIs" dxfId="3192" priority="3299" operator="equal">
      <formula>" "</formula>
    </cfRule>
    <cfRule type="expression" dxfId="3191" priority="3300">
      <formula>OR(I12="Sa",I12="Di",K12="F")</formula>
    </cfRule>
    <cfRule type="expression" dxfId="3190" priority="3303">
      <formula>I12&lt;&gt;""</formula>
    </cfRule>
  </conditionalFormatting>
  <conditionalFormatting sqref="M12">
    <cfRule type="cellIs" dxfId="3189" priority="3296" operator="equal">
      <formula>" "</formula>
    </cfRule>
    <cfRule type="expression" dxfId="3188" priority="3297">
      <formula>OR(I12="Sa",I12="Di",K12="F")</formula>
    </cfRule>
    <cfRule type="expression" dxfId="3187" priority="3298">
      <formula>J12&lt;&gt;""</formula>
    </cfRule>
  </conditionalFormatting>
  <conditionalFormatting sqref="N14">
    <cfRule type="cellIs" dxfId="3186" priority="3286" operator="equal">
      <formula>" "</formula>
    </cfRule>
    <cfRule type="expression" dxfId="3185" priority="3292">
      <formula>OR(I14="Sa",I14="Di",K14="F")</formula>
    </cfRule>
    <cfRule type="expression" dxfId="3184" priority="3293">
      <formula>I14&lt;&gt;""</formula>
    </cfRule>
  </conditionalFormatting>
  <conditionalFormatting sqref="L14">
    <cfRule type="cellIs" dxfId="3183" priority="3290" operator="equal">
      <formula>" "</formula>
    </cfRule>
    <cfRule type="expression" dxfId="3182" priority="3291">
      <formula>OR(I14="Sa",I14="Di",K14="F")</formula>
    </cfRule>
    <cfRule type="expression" dxfId="3181" priority="3294">
      <formula>I14&lt;&gt;""</formula>
    </cfRule>
  </conditionalFormatting>
  <conditionalFormatting sqref="M14">
    <cfRule type="cellIs" dxfId="3180" priority="3287" operator="equal">
      <formula>" "</formula>
    </cfRule>
    <cfRule type="expression" dxfId="3179" priority="3288">
      <formula>OR(I14="Sa",I14="Di",K14="F")</formula>
    </cfRule>
    <cfRule type="expression" dxfId="3178" priority="3289">
      <formula>J14&lt;&gt;""</formula>
    </cfRule>
  </conditionalFormatting>
  <conditionalFormatting sqref="N16">
    <cfRule type="cellIs" dxfId="3177" priority="3277" operator="equal">
      <formula>" "</formula>
    </cfRule>
    <cfRule type="expression" dxfId="3176" priority="3283">
      <formula>OR(I16="Sa",I16="Di",K16="F")</formula>
    </cfRule>
    <cfRule type="expression" dxfId="3175" priority="3284">
      <formula>I16&lt;&gt;""</formula>
    </cfRule>
  </conditionalFormatting>
  <conditionalFormatting sqref="L16">
    <cfRule type="cellIs" dxfId="3174" priority="3281" operator="equal">
      <formula>" "</formula>
    </cfRule>
    <cfRule type="expression" dxfId="3173" priority="3282">
      <formula>OR(I16="Sa",I16="Di",K16="F")</formula>
    </cfRule>
    <cfRule type="expression" dxfId="3172" priority="3285">
      <formula>I16&lt;&gt;""</formula>
    </cfRule>
  </conditionalFormatting>
  <conditionalFormatting sqref="M16">
    <cfRule type="cellIs" dxfId="3171" priority="3278" operator="equal">
      <formula>" "</formula>
    </cfRule>
    <cfRule type="expression" dxfId="3170" priority="3279">
      <formula>OR(I16="Sa",I16="Di",K16="F")</formula>
    </cfRule>
    <cfRule type="expression" dxfId="3169" priority="3280">
      <formula>J16&lt;&gt;""</formula>
    </cfRule>
  </conditionalFormatting>
  <conditionalFormatting sqref="N18">
    <cfRule type="cellIs" dxfId="3168" priority="3268" operator="equal">
      <formula>" "</formula>
    </cfRule>
    <cfRule type="expression" dxfId="3167" priority="3274">
      <formula>OR(I18="Sa",I18="Di",K18="F")</formula>
    </cfRule>
    <cfRule type="expression" dxfId="3166" priority="3275">
      <formula>I18&lt;&gt;""</formula>
    </cfRule>
  </conditionalFormatting>
  <conditionalFormatting sqref="L18">
    <cfRule type="cellIs" dxfId="3165" priority="3272" operator="equal">
      <formula>" "</formula>
    </cfRule>
    <cfRule type="expression" dxfId="3164" priority="3273">
      <formula>OR(I18="Sa",I18="Di",K18="F")</formula>
    </cfRule>
    <cfRule type="expression" dxfId="3163" priority="3276">
      <formula>I18&lt;&gt;""</formula>
    </cfRule>
  </conditionalFormatting>
  <conditionalFormatting sqref="M18">
    <cfRule type="cellIs" dxfId="3162" priority="3269" operator="equal">
      <formula>" "</formula>
    </cfRule>
    <cfRule type="expression" dxfId="3161" priority="3270">
      <formula>OR(I18="Sa",I18="Di",K18="F")</formula>
    </cfRule>
    <cfRule type="expression" dxfId="3160" priority="3271">
      <formula>J18&lt;&gt;""</formula>
    </cfRule>
  </conditionalFormatting>
  <conditionalFormatting sqref="N20">
    <cfRule type="cellIs" dxfId="3159" priority="3259" operator="equal">
      <formula>" "</formula>
    </cfRule>
    <cfRule type="expression" dxfId="3158" priority="3265">
      <formula>OR(I20="Sa",I20="Di",K20="F")</formula>
    </cfRule>
    <cfRule type="expression" dxfId="3157" priority="3266">
      <formula>I20&lt;&gt;""</formula>
    </cfRule>
  </conditionalFormatting>
  <conditionalFormatting sqref="L20">
    <cfRule type="cellIs" dxfId="3156" priority="3263" operator="equal">
      <formula>" "</formula>
    </cfRule>
    <cfRule type="expression" dxfId="3155" priority="3264">
      <formula>OR(I20="Sa",I20="Di",K20="F")</formula>
    </cfRule>
    <cfRule type="expression" dxfId="3154" priority="3267">
      <formula>I20&lt;&gt;""</formula>
    </cfRule>
  </conditionalFormatting>
  <conditionalFormatting sqref="M20">
    <cfRule type="cellIs" dxfId="3153" priority="3260" operator="equal">
      <formula>" "</formula>
    </cfRule>
    <cfRule type="expression" dxfId="3152" priority="3261">
      <formula>OR(I20="Sa",I20="Di",K20="F")</formula>
    </cfRule>
    <cfRule type="expression" dxfId="3151" priority="3262">
      <formula>J20&lt;&gt;""</formula>
    </cfRule>
  </conditionalFormatting>
  <conditionalFormatting sqref="N22">
    <cfRule type="cellIs" dxfId="3150" priority="3250" operator="equal">
      <formula>" "</formula>
    </cfRule>
    <cfRule type="expression" dxfId="3149" priority="3256">
      <formula>OR(I22="Sa",I22="Di",K22="F")</formula>
    </cfRule>
    <cfRule type="expression" dxfId="3148" priority="3257">
      <formula>I22&lt;&gt;""</formula>
    </cfRule>
  </conditionalFormatting>
  <conditionalFormatting sqref="L22">
    <cfRule type="cellIs" dxfId="3147" priority="3254" operator="equal">
      <formula>" "</formula>
    </cfRule>
    <cfRule type="expression" dxfId="3146" priority="3255">
      <formula>OR(I22="Sa",I22="Di",K22="F")</formula>
    </cfRule>
    <cfRule type="expression" dxfId="3145" priority="3258">
      <formula>I22&lt;&gt;""</formula>
    </cfRule>
  </conditionalFormatting>
  <conditionalFormatting sqref="M22">
    <cfRule type="cellIs" dxfId="3144" priority="3251" operator="equal">
      <formula>" "</formula>
    </cfRule>
    <cfRule type="expression" dxfId="3143" priority="3252">
      <formula>OR(I22="Sa",I22="Di",K22="F")</formula>
    </cfRule>
    <cfRule type="expression" dxfId="3142" priority="3253">
      <formula>J22&lt;&gt;""</formula>
    </cfRule>
  </conditionalFormatting>
  <conditionalFormatting sqref="N24">
    <cfRule type="cellIs" dxfId="3141" priority="3241" operator="equal">
      <formula>" "</formula>
    </cfRule>
    <cfRule type="expression" dxfId="3140" priority="3247">
      <formula>OR(I24="Sa",I24="Di",K24="F")</formula>
    </cfRule>
    <cfRule type="expression" dxfId="3139" priority="3248">
      <formula>I24&lt;&gt;""</formula>
    </cfRule>
  </conditionalFormatting>
  <conditionalFormatting sqref="L24">
    <cfRule type="cellIs" dxfId="3138" priority="3245" operator="equal">
      <formula>" "</formula>
    </cfRule>
    <cfRule type="expression" dxfId="3137" priority="3246">
      <formula>OR(I24="Sa",I24="Di",K24="F")</formula>
    </cfRule>
    <cfRule type="expression" dxfId="3136" priority="3249">
      <formula>I24&lt;&gt;""</formula>
    </cfRule>
  </conditionalFormatting>
  <conditionalFormatting sqref="M24">
    <cfRule type="cellIs" dxfId="3135" priority="3242" operator="equal">
      <formula>" "</formula>
    </cfRule>
    <cfRule type="expression" dxfId="3134" priority="3243">
      <formula>OR(I24="Sa",I24="Di",K24="F")</formula>
    </cfRule>
    <cfRule type="expression" dxfId="3133" priority="3244">
      <formula>J24&lt;&gt;""</formula>
    </cfRule>
  </conditionalFormatting>
  <conditionalFormatting sqref="N26">
    <cfRule type="cellIs" dxfId="3132" priority="3232" operator="equal">
      <formula>" "</formula>
    </cfRule>
    <cfRule type="expression" dxfId="3131" priority="3238">
      <formula>OR(I26="Sa",I26="Di",K26="F")</formula>
    </cfRule>
    <cfRule type="expression" dxfId="3130" priority="3239">
      <formula>I26&lt;&gt;""</formula>
    </cfRule>
  </conditionalFormatting>
  <conditionalFormatting sqref="L26">
    <cfRule type="cellIs" dxfId="3129" priority="3236" operator="equal">
      <formula>" "</formula>
    </cfRule>
    <cfRule type="expression" dxfId="3128" priority="3237">
      <formula>OR(I26="Sa",I26="Di",K26="F")</formula>
    </cfRule>
    <cfRule type="expression" dxfId="3127" priority="3240">
      <formula>I26&lt;&gt;""</formula>
    </cfRule>
  </conditionalFormatting>
  <conditionalFormatting sqref="M26">
    <cfRule type="cellIs" dxfId="3126" priority="3233" operator="equal">
      <formula>" "</formula>
    </cfRule>
    <cfRule type="expression" dxfId="3125" priority="3234">
      <formula>OR(I26="Sa",I26="Di",K26="F")</formula>
    </cfRule>
    <cfRule type="expression" dxfId="3124" priority="3235">
      <formula>J26&lt;&gt;""</formula>
    </cfRule>
  </conditionalFormatting>
  <conditionalFormatting sqref="N28">
    <cfRule type="cellIs" dxfId="3123" priority="3223" operator="equal">
      <formula>" "</formula>
    </cfRule>
    <cfRule type="expression" dxfId="3122" priority="3229">
      <formula>OR(I28="Sa",I28="Di",K28="F")</formula>
    </cfRule>
    <cfRule type="expression" dxfId="3121" priority="3230">
      <formula>I28&lt;&gt;""</formula>
    </cfRule>
  </conditionalFormatting>
  <conditionalFormatting sqref="L28">
    <cfRule type="cellIs" dxfId="3120" priority="3227" operator="equal">
      <formula>" "</formula>
    </cfRule>
    <cfRule type="expression" dxfId="3119" priority="3228">
      <formula>OR(I28="Sa",I28="Di",K28="F")</formula>
    </cfRule>
    <cfRule type="expression" dxfId="3118" priority="3231">
      <formula>I28&lt;&gt;""</formula>
    </cfRule>
  </conditionalFormatting>
  <conditionalFormatting sqref="M28">
    <cfRule type="cellIs" dxfId="3117" priority="3224" operator="equal">
      <formula>" "</formula>
    </cfRule>
    <cfRule type="expression" dxfId="3116" priority="3225">
      <formula>OR(I28="Sa",I28="Di",K28="F")</formula>
    </cfRule>
    <cfRule type="expression" dxfId="3115" priority="3226">
      <formula>J28&lt;&gt;""</formula>
    </cfRule>
  </conditionalFormatting>
  <conditionalFormatting sqref="N30">
    <cfRule type="cellIs" dxfId="3114" priority="3214" operator="equal">
      <formula>" "</formula>
    </cfRule>
    <cfRule type="expression" dxfId="3113" priority="3220">
      <formula>OR(I30="Sa",I30="Di",K30="F")</formula>
    </cfRule>
    <cfRule type="expression" dxfId="3112" priority="3221">
      <formula>I30&lt;&gt;""</formula>
    </cfRule>
  </conditionalFormatting>
  <conditionalFormatting sqref="L30">
    <cfRule type="cellIs" dxfId="3111" priority="3218" operator="equal">
      <formula>" "</formula>
    </cfRule>
    <cfRule type="expression" dxfId="3110" priority="3219">
      <formula>OR(I30="Sa",I30="Di",K30="F")</formula>
    </cfRule>
    <cfRule type="expression" dxfId="3109" priority="3222">
      <formula>I30&lt;&gt;""</formula>
    </cfRule>
  </conditionalFormatting>
  <conditionalFormatting sqref="M30">
    <cfRule type="cellIs" dxfId="3108" priority="3215" operator="equal">
      <formula>" "</formula>
    </cfRule>
    <cfRule type="expression" dxfId="3107" priority="3216">
      <formula>OR(I30="Sa",I30="Di",K30="F")</formula>
    </cfRule>
    <cfRule type="expression" dxfId="3106" priority="3217">
      <formula>J30&lt;&gt;""</formula>
    </cfRule>
  </conditionalFormatting>
  <conditionalFormatting sqref="N32">
    <cfRule type="cellIs" dxfId="3105" priority="3205" operator="equal">
      <formula>" "</formula>
    </cfRule>
    <cfRule type="expression" dxfId="3104" priority="3211">
      <formula>OR(I32="Sa",I32="Di",K32="F")</formula>
    </cfRule>
    <cfRule type="expression" dxfId="3103" priority="3212">
      <formula>I32&lt;&gt;""</formula>
    </cfRule>
  </conditionalFormatting>
  <conditionalFormatting sqref="L32">
    <cfRule type="cellIs" dxfId="3102" priority="3209" operator="equal">
      <formula>" "</formula>
    </cfRule>
    <cfRule type="expression" dxfId="3101" priority="3210">
      <formula>OR(I32="Sa",I32="Di",K32="F")</formula>
    </cfRule>
    <cfRule type="expression" dxfId="3100" priority="3213">
      <formula>I32&lt;&gt;""</formula>
    </cfRule>
  </conditionalFormatting>
  <conditionalFormatting sqref="M32">
    <cfRule type="cellIs" dxfId="3099" priority="3206" operator="equal">
      <formula>" "</formula>
    </cfRule>
    <cfRule type="expression" dxfId="3098" priority="3207">
      <formula>OR(I32="Sa",I32="Di",K32="F")</formula>
    </cfRule>
    <cfRule type="expression" dxfId="3097" priority="3208">
      <formula>J32&lt;&gt;""</formula>
    </cfRule>
  </conditionalFormatting>
  <conditionalFormatting sqref="N34">
    <cfRule type="cellIs" dxfId="3096" priority="3196" operator="equal">
      <formula>" "</formula>
    </cfRule>
    <cfRule type="expression" dxfId="3095" priority="3202">
      <formula>OR(I34="Sa",I34="Di",K34="F")</formula>
    </cfRule>
    <cfRule type="expression" dxfId="3094" priority="3203">
      <formula>I34&lt;&gt;""</formula>
    </cfRule>
  </conditionalFormatting>
  <conditionalFormatting sqref="L34">
    <cfRule type="cellIs" dxfId="3093" priority="3200" operator="equal">
      <formula>" "</formula>
    </cfRule>
    <cfRule type="expression" dxfId="3092" priority="3201">
      <formula>OR(I34="Sa",I34="Di",K34="F")</formula>
    </cfRule>
    <cfRule type="expression" dxfId="3091" priority="3204">
      <formula>I34&lt;&gt;""</formula>
    </cfRule>
  </conditionalFormatting>
  <conditionalFormatting sqref="M34">
    <cfRule type="cellIs" dxfId="3090" priority="3197" operator="equal">
      <formula>" "</formula>
    </cfRule>
    <cfRule type="expression" dxfId="3089" priority="3198">
      <formula>OR(I34="Sa",I34="Di",K34="F")</formula>
    </cfRule>
    <cfRule type="expression" dxfId="3088" priority="3199">
      <formula>J34&lt;&gt;""</formula>
    </cfRule>
  </conditionalFormatting>
  <conditionalFormatting sqref="N36">
    <cfRule type="cellIs" dxfId="3087" priority="3187" operator="equal">
      <formula>" "</formula>
    </cfRule>
    <cfRule type="expression" dxfId="3086" priority="3193">
      <formula>OR(I36="Sa",I36="Di",K36="F")</formula>
    </cfRule>
    <cfRule type="expression" dxfId="3085" priority="3194">
      <formula>I36&lt;&gt;""</formula>
    </cfRule>
  </conditionalFormatting>
  <conditionalFormatting sqref="L36">
    <cfRule type="cellIs" dxfId="3084" priority="3191" operator="equal">
      <formula>" "</formula>
    </cfRule>
    <cfRule type="expression" dxfId="3083" priority="3192">
      <formula>OR(I36="Sa",I36="Di",K36="F")</formula>
    </cfRule>
    <cfRule type="expression" dxfId="3082" priority="3195">
      <formula>I36&lt;&gt;""</formula>
    </cfRule>
  </conditionalFormatting>
  <conditionalFormatting sqref="M36">
    <cfRule type="cellIs" dxfId="3081" priority="3188" operator="equal">
      <formula>" "</formula>
    </cfRule>
    <cfRule type="expression" dxfId="3080" priority="3189">
      <formula>OR(I36="Sa",I36="Di",K36="F")</formula>
    </cfRule>
    <cfRule type="expression" dxfId="3079" priority="3190">
      <formula>J36&lt;&gt;""</formula>
    </cfRule>
  </conditionalFormatting>
  <conditionalFormatting sqref="N38">
    <cfRule type="cellIs" dxfId="3078" priority="3178" operator="equal">
      <formula>" "</formula>
    </cfRule>
    <cfRule type="expression" dxfId="3077" priority="3184">
      <formula>OR(I38="Sa",I38="Di",K38="F")</formula>
    </cfRule>
    <cfRule type="expression" dxfId="3076" priority="3185">
      <formula>I38&lt;&gt;""</formula>
    </cfRule>
  </conditionalFormatting>
  <conditionalFormatting sqref="L38">
    <cfRule type="cellIs" dxfId="3075" priority="3182" operator="equal">
      <formula>" "</formula>
    </cfRule>
    <cfRule type="expression" dxfId="3074" priority="3183">
      <formula>OR(I38="Sa",I38="Di",K38="F")</formula>
    </cfRule>
    <cfRule type="expression" dxfId="3073" priority="3186">
      <formula>I38&lt;&gt;""</formula>
    </cfRule>
  </conditionalFormatting>
  <conditionalFormatting sqref="M38">
    <cfRule type="cellIs" dxfId="3072" priority="3179" operator="equal">
      <formula>" "</formula>
    </cfRule>
    <cfRule type="expression" dxfId="3071" priority="3180">
      <formula>OR(I38="Sa",I38="Di",K38="F")</formula>
    </cfRule>
    <cfRule type="expression" dxfId="3070" priority="3181">
      <formula>J38&lt;&gt;""</formula>
    </cfRule>
  </conditionalFormatting>
  <conditionalFormatting sqref="N40">
    <cfRule type="cellIs" dxfId="3069" priority="3169" operator="equal">
      <formula>" "</formula>
    </cfRule>
    <cfRule type="expression" dxfId="3068" priority="3175">
      <formula>OR(I40="Sa",I40="Di",K40="F")</formula>
    </cfRule>
    <cfRule type="expression" dxfId="3067" priority="3176">
      <formula>I40&lt;&gt;""</formula>
    </cfRule>
  </conditionalFormatting>
  <conditionalFormatting sqref="L40">
    <cfRule type="cellIs" dxfId="3066" priority="3173" operator="equal">
      <formula>" "</formula>
    </cfRule>
    <cfRule type="expression" dxfId="3065" priority="3174">
      <formula>OR(I40="Sa",I40="Di",K40="F")</formula>
    </cfRule>
    <cfRule type="expression" dxfId="3064" priority="3177">
      <formula>I40&lt;&gt;""</formula>
    </cfRule>
  </conditionalFormatting>
  <conditionalFormatting sqref="M40">
    <cfRule type="cellIs" dxfId="3063" priority="3170" operator="equal">
      <formula>" "</formula>
    </cfRule>
    <cfRule type="expression" dxfId="3062" priority="3171">
      <formula>OR(I40="Sa",I40="Di",K40="F")</formula>
    </cfRule>
    <cfRule type="expression" dxfId="3061" priority="3172">
      <formula>J40&lt;&gt;""</formula>
    </cfRule>
  </conditionalFormatting>
  <conditionalFormatting sqref="N42">
    <cfRule type="cellIs" dxfId="3060" priority="3160" operator="equal">
      <formula>" "</formula>
    </cfRule>
    <cfRule type="expression" dxfId="3059" priority="3166">
      <formula>OR(I42="Sa",I42="Di",K42="F")</formula>
    </cfRule>
    <cfRule type="expression" dxfId="3058" priority="3167">
      <formula>I42&lt;&gt;""</formula>
    </cfRule>
  </conditionalFormatting>
  <conditionalFormatting sqref="L42">
    <cfRule type="cellIs" dxfId="3057" priority="3164" operator="equal">
      <formula>" "</formula>
    </cfRule>
    <cfRule type="expression" dxfId="3056" priority="3165">
      <formula>OR(I42="Sa",I42="Di",K42="F")</formula>
    </cfRule>
    <cfRule type="expression" dxfId="3055" priority="3168">
      <formula>I42&lt;&gt;""</formula>
    </cfRule>
  </conditionalFormatting>
  <conditionalFormatting sqref="M42">
    <cfRule type="cellIs" dxfId="3054" priority="3161" operator="equal">
      <formula>" "</formula>
    </cfRule>
    <cfRule type="expression" dxfId="3053" priority="3162">
      <formula>OR(I42="Sa",I42="Di",K42="F")</formula>
    </cfRule>
    <cfRule type="expression" dxfId="3052" priority="3163">
      <formula>J42&lt;&gt;""</formula>
    </cfRule>
  </conditionalFormatting>
  <conditionalFormatting sqref="N44">
    <cfRule type="cellIs" dxfId="3051" priority="3151" operator="equal">
      <formula>" "</formula>
    </cfRule>
    <cfRule type="expression" dxfId="3050" priority="3157">
      <formula>OR(I44="Sa",I44="Di",K44="F")</formula>
    </cfRule>
    <cfRule type="expression" dxfId="3049" priority="3158">
      <formula>I44&lt;&gt;""</formula>
    </cfRule>
  </conditionalFormatting>
  <conditionalFormatting sqref="L44">
    <cfRule type="cellIs" dxfId="3048" priority="3155" operator="equal">
      <formula>" "</formula>
    </cfRule>
    <cfRule type="expression" dxfId="3047" priority="3156">
      <formula>OR(I44="Sa",I44="Di",K44="F")</formula>
    </cfRule>
    <cfRule type="expression" dxfId="3046" priority="3159">
      <formula>I44&lt;&gt;""</formula>
    </cfRule>
  </conditionalFormatting>
  <conditionalFormatting sqref="M44">
    <cfRule type="cellIs" dxfId="3045" priority="3152" operator="equal">
      <formula>" "</formula>
    </cfRule>
    <cfRule type="expression" dxfId="3044" priority="3153">
      <formula>OR(I44="Sa",I44="Di",K44="F")</formula>
    </cfRule>
    <cfRule type="expression" dxfId="3043" priority="3154">
      <formula>J44&lt;&gt;""</formula>
    </cfRule>
  </conditionalFormatting>
  <conditionalFormatting sqref="N46">
    <cfRule type="cellIs" dxfId="3042" priority="3142" operator="equal">
      <formula>" "</formula>
    </cfRule>
    <cfRule type="expression" dxfId="3041" priority="3148">
      <formula>OR(I46="Sa",I46="Di",K46="F")</formula>
    </cfRule>
    <cfRule type="expression" dxfId="3040" priority="3149">
      <formula>I46&lt;&gt;""</formula>
    </cfRule>
  </conditionalFormatting>
  <conditionalFormatting sqref="L46">
    <cfRule type="cellIs" dxfId="3039" priority="3146" operator="equal">
      <formula>" "</formula>
    </cfRule>
    <cfRule type="expression" dxfId="3038" priority="3147">
      <formula>OR(I46="Sa",I46="Di",K46="F")</formula>
    </cfRule>
    <cfRule type="expression" dxfId="3037" priority="3150">
      <formula>I46&lt;&gt;""</formula>
    </cfRule>
  </conditionalFormatting>
  <conditionalFormatting sqref="M46">
    <cfRule type="cellIs" dxfId="3036" priority="3143" operator="equal">
      <formula>" "</formula>
    </cfRule>
    <cfRule type="expression" dxfId="3035" priority="3144">
      <formula>OR(I46="Sa",I46="Di",K46="F")</formula>
    </cfRule>
    <cfRule type="expression" dxfId="3034" priority="3145">
      <formula>J46&lt;&gt;""</formula>
    </cfRule>
  </conditionalFormatting>
  <conditionalFormatting sqref="N48">
    <cfRule type="cellIs" dxfId="3033" priority="3133" operator="equal">
      <formula>" "</formula>
    </cfRule>
    <cfRule type="expression" dxfId="3032" priority="3139">
      <formula>OR(I48="Sa",I48="Di",K48="F")</formula>
    </cfRule>
    <cfRule type="expression" dxfId="3031" priority="3140">
      <formula>I48&lt;&gt;""</formula>
    </cfRule>
  </conditionalFormatting>
  <conditionalFormatting sqref="L48">
    <cfRule type="cellIs" dxfId="3030" priority="3137" operator="equal">
      <formula>" "</formula>
    </cfRule>
    <cfRule type="expression" dxfId="3029" priority="3138">
      <formula>OR(I48="Sa",I48="Di",K48="F")</formula>
    </cfRule>
    <cfRule type="expression" dxfId="3028" priority="3141">
      <formula>I48&lt;&gt;""</formula>
    </cfRule>
  </conditionalFormatting>
  <conditionalFormatting sqref="M48">
    <cfRule type="cellIs" dxfId="3027" priority="3134" operator="equal">
      <formula>" "</formula>
    </cfRule>
    <cfRule type="expression" dxfId="3026" priority="3135">
      <formula>OR(I48="Sa",I48="Di",K48="F")</formula>
    </cfRule>
    <cfRule type="expression" dxfId="3025" priority="3136">
      <formula>J48&lt;&gt;""</formula>
    </cfRule>
  </conditionalFormatting>
  <conditionalFormatting sqref="N50">
    <cfRule type="cellIs" dxfId="3024" priority="3124" operator="equal">
      <formula>" "</formula>
    </cfRule>
    <cfRule type="expression" dxfId="3023" priority="3130">
      <formula>OR(I50="Sa",I50="Di",K50="F")</formula>
    </cfRule>
    <cfRule type="expression" dxfId="3022" priority="3131">
      <formula>I50&lt;&gt;""</formula>
    </cfRule>
  </conditionalFormatting>
  <conditionalFormatting sqref="L50">
    <cfRule type="cellIs" dxfId="3021" priority="3128" operator="equal">
      <formula>" "</formula>
    </cfRule>
    <cfRule type="expression" dxfId="3020" priority="3129">
      <formula>OR(I50="Sa",I50="Di",K50="F")</formula>
    </cfRule>
    <cfRule type="expression" dxfId="3019" priority="3132">
      <formula>I50&lt;&gt;""</formula>
    </cfRule>
  </conditionalFormatting>
  <conditionalFormatting sqref="M50">
    <cfRule type="cellIs" dxfId="3018" priority="3125" operator="equal">
      <formula>" "</formula>
    </cfRule>
    <cfRule type="expression" dxfId="3017" priority="3126">
      <formula>OR(I50="Sa",I50="Di",K50="F")</formula>
    </cfRule>
    <cfRule type="expression" dxfId="3016" priority="3127">
      <formula>J50&lt;&gt;""</formula>
    </cfRule>
  </conditionalFormatting>
  <conditionalFormatting sqref="N52">
    <cfRule type="cellIs" dxfId="3015" priority="3115" operator="equal">
      <formula>" "</formula>
    </cfRule>
    <cfRule type="expression" dxfId="3014" priority="3121">
      <formula>OR(I52="Sa",I52="Di",K52="F")</formula>
    </cfRule>
    <cfRule type="expression" dxfId="3013" priority="3122">
      <formula>I52&lt;&gt;""</formula>
    </cfRule>
  </conditionalFormatting>
  <conditionalFormatting sqref="L52">
    <cfRule type="cellIs" dxfId="3012" priority="3119" operator="equal">
      <formula>" "</formula>
    </cfRule>
    <cfRule type="expression" dxfId="3011" priority="3120">
      <formula>OR(I52="Sa",I52="Di",K52="F")</formula>
    </cfRule>
    <cfRule type="expression" dxfId="3010" priority="3123">
      <formula>I52&lt;&gt;""</formula>
    </cfRule>
  </conditionalFormatting>
  <conditionalFormatting sqref="M52">
    <cfRule type="cellIs" dxfId="3009" priority="3116" operator="equal">
      <formula>" "</formula>
    </cfRule>
    <cfRule type="expression" dxfId="3008" priority="3117">
      <formula>OR(I52="Sa",I52="Di",K52="F")</formula>
    </cfRule>
    <cfRule type="expression" dxfId="3007" priority="3118">
      <formula>J52&lt;&gt;""</formula>
    </cfRule>
  </conditionalFormatting>
  <conditionalFormatting sqref="N54">
    <cfRule type="cellIs" dxfId="3006" priority="3106" operator="equal">
      <formula>" "</formula>
    </cfRule>
    <cfRule type="expression" dxfId="3005" priority="3112">
      <formula>OR(I54="Sa",I54="Di",K54="F")</formula>
    </cfRule>
    <cfRule type="expression" dxfId="3004" priority="3113">
      <formula>I54&lt;&gt;""</formula>
    </cfRule>
  </conditionalFormatting>
  <conditionalFormatting sqref="L54">
    <cfRule type="cellIs" dxfId="3003" priority="3110" operator="equal">
      <formula>" "</formula>
    </cfRule>
    <cfRule type="expression" dxfId="3002" priority="3111">
      <formula>OR(I54="Sa",I54="Di",K54="F")</formula>
    </cfRule>
    <cfRule type="expression" dxfId="3001" priority="3114">
      <formula>I54&lt;&gt;""</formula>
    </cfRule>
  </conditionalFormatting>
  <conditionalFormatting sqref="M54">
    <cfRule type="cellIs" dxfId="3000" priority="3107" operator="equal">
      <formula>" "</formula>
    </cfRule>
    <cfRule type="expression" dxfId="2999" priority="3108">
      <formula>OR(I54="Sa",I54="Di",K54="F")</formula>
    </cfRule>
    <cfRule type="expression" dxfId="2998" priority="3109">
      <formula>J54&lt;&gt;""</formula>
    </cfRule>
  </conditionalFormatting>
  <conditionalFormatting sqref="N56">
    <cfRule type="cellIs" dxfId="2997" priority="3097" operator="equal">
      <formula>" "</formula>
    </cfRule>
    <cfRule type="expression" dxfId="2996" priority="3103">
      <formula>OR(I56="Sa",I56="Di",K56="F")</formula>
    </cfRule>
    <cfRule type="expression" dxfId="2995" priority="3104">
      <formula>I56&lt;&gt;""</formula>
    </cfRule>
  </conditionalFormatting>
  <conditionalFormatting sqref="L56">
    <cfRule type="cellIs" dxfId="2994" priority="3101" operator="equal">
      <formula>" "</formula>
    </cfRule>
    <cfRule type="expression" dxfId="2993" priority="3102">
      <formula>OR(I56="Sa",I56="Di",K56="F")</formula>
    </cfRule>
    <cfRule type="expression" dxfId="2992" priority="3105">
      <formula>I56&lt;&gt;""</formula>
    </cfRule>
  </conditionalFormatting>
  <conditionalFormatting sqref="M56">
    <cfRule type="cellIs" dxfId="2991" priority="3098" operator="equal">
      <formula>" "</formula>
    </cfRule>
    <cfRule type="expression" dxfId="2990" priority="3099">
      <formula>OR(I56="Sa",I56="Di",K56="F")</formula>
    </cfRule>
    <cfRule type="expression" dxfId="2989" priority="3100">
      <formula>J56&lt;&gt;""</formula>
    </cfRule>
  </conditionalFormatting>
  <conditionalFormatting sqref="N58">
    <cfRule type="cellIs" dxfId="2988" priority="3088" operator="equal">
      <formula>" "</formula>
    </cfRule>
    <cfRule type="expression" dxfId="2987" priority="3094">
      <formula>OR(I58="Sa",I58="Di",K58="F")</formula>
    </cfRule>
    <cfRule type="expression" dxfId="2986" priority="3095">
      <formula>I58&lt;&gt;""</formula>
    </cfRule>
  </conditionalFormatting>
  <conditionalFormatting sqref="L58">
    <cfRule type="cellIs" dxfId="2985" priority="3092" operator="equal">
      <formula>" "</formula>
    </cfRule>
    <cfRule type="expression" dxfId="2984" priority="3093">
      <formula>OR(I58="Sa",I58="Di",K58="F")</formula>
    </cfRule>
    <cfRule type="expression" dxfId="2983" priority="3096">
      <formula>I58&lt;&gt;""</formula>
    </cfRule>
  </conditionalFormatting>
  <conditionalFormatting sqref="M58">
    <cfRule type="cellIs" dxfId="2982" priority="3089" operator="equal">
      <formula>" "</formula>
    </cfRule>
    <cfRule type="expression" dxfId="2981" priority="3090">
      <formula>OR(I58="Sa",I58="Di",K58="F")</formula>
    </cfRule>
    <cfRule type="expression" dxfId="2980" priority="3091">
      <formula>J58&lt;&gt;""</formula>
    </cfRule>
  </conditionalFormatting>
  <conditionalFormatting sqref="N60">
    <cfRule type="cellIs" dxfId="2979" priority="3079" operator="equal">
      <formula>" "</formula>
    </cfRule>
    <cfRule type="expression" dxfId="2978" priority="3085">
      <formula>OR(I60="Sa",I60="Di",K60="F")</formula>
    </cfRule>
    <cfRule type="expression" dxfId="2977" priority="3086">
      <formula>I60&lt;&gt;""</formula>
    </cfRule>
  </conditionalFormatting>
  <conditionalFormatting sqref="L60">
    <cfRule type="cellIs" dxfId="2976" priority="3083" operator="equal">
      <formula>" "</formula>
    </cfRule>
    <cfRule type="expression" dxfId="2975" priority="3084">
      <formula>OR(I60="Sa",I60="Di",K60="F")</formula>
    </cfRule>
    <cfRule type="expression" dxfId="2974" priority="3087">
      <formula>I60&lt;&gt;""</formula>
    </cfRule>
  </conditionalFormatting>
  <conditionalFormatting sqref="M60">
    <cfRule type="cellIs" dxfId="2973" priority="3080" operator="equal">
      <formula>" "</formula>
    </cfRule>
    <cfRule type="expression" dxfId="2972" priority="3081">
      <formula>OR(I60="Sa",I60="Di",K60="F")</formula>
    </cfRule>
    <cfRule type="expression" dxfId="2971" priority="3082">
      <formula>J60&lt;&gt;""</formula>
    </cfRule>
  </conditionalFormatting>
  <conditionalFormatting sqref="N66">
    <cfRule type="cellIs" dxfId="2970" priority="3052" operator="equal">
      <formula>" "</formula>
    </cfRule>
    <cfRule type="expression" dxfId="2969" priority="3058">
      <formula>OR(I66="Sa",I66="Di",K66="F")</formula>
    </cfRule>
    <cfRule type="expression" dxfId="2968" priority="3059">
      <formula>I66&lt;&gt;""</formula>
    </cfRule>
  </conditionalFormatting>
  <conditionalFormatting sqref="L66">
    <cfRule type="cellIs" dxfId="2967" priority="3056" operator="equal">
      <formula>" "</formula>
    </cfRule>
    <cfRule type="expression" dxfId="2966" priority="3057">
      <formula>OR(I66="Sa",I66="Di",K66="F")</formula>
    </cfRule>
    <cfRule type="expression" dxfId="2965" priority="3060">
      <formula>I66&lt;&gt;""</formula>
    </cfRule>
  </conditionalFormatting>
  <conditionalFormatting sqref="M66">
    <cfRule type="cellIs" dxfId="2964" priority="3053" operator="equal">
      <formula>" "</formula>
    </cfRule>
    <cfRule type="expression" dxfId="2963" priority="3054">
      <formula>OR(I66="Sa",I66="Di",K66="F")</formula>
    </cfRule>
    <cfRule type="expression" dxfId="2962" priority="3055">
      <formula>J66&lt;&gt;""</formula>
    </cfRule>
  </conditionalFormatting>
  <conditionalFormatting sqref="U6">
    <cfRule type="cellIs" dxfId="2961" priority="3043" operator="equal">
      <formula>" "</formula>
    </cfRule>
    <cfRule type="expression" dxfId="2960" priority="3049">
      <formula>OR(P6="Sa",P6="Di",R6="F")</formula>
    </cfRule>
    <cfRule type="expression" dxfId="2959" priority="3050">
      <formula>P6&lt;&gt;""</formula>
    </cfRule>
  </conditionalFormatting>
  <conditionalFormatting sqref="S6">
    <cfRule type="cellIs" dxfId="2958" priority="3047" operator="equal">
      <formula>" "</formula>
    </cfRule>
    <cfRule type="expression" dxfId="2957" priority="3048">
      <formula>OR(P6="Sa",P6="Di",R6="F")</formula>
    </cfRule>
    <cfRule type="expression" dxfId="2956" priority="3051">
      <formula>P6&lt;&gt;""</formula>
    </cfRule>
  </conditionalFormatting>
  <conditionalFormatting sqref="T6">
    <cfRule type="cellIs" dxfId="2955" priority="3044" operator="equal">
      <formula>" "</formula>
    </cfRule>
    <cfRule type="expression" dxfId="2954" priority="3045">
      <formula>OR(P6="Sa",P6="Di",R6="F")</formula>
    </cfRule>
    <cfRule type="expression" dxfId="2953" priority="3046">
      <formula>Q6&lt;&gt;""</formula>
    </cfRule>
  </conditionalFormatting>
  <conditionalFormatting sqref="U8">
    <cfRule type="cellIs" dxfId="2952" priority="3034" operator="equal">
      <formula>" "</formula>
    </cfRule>
    <cfRule type="expression" dxfId="2951" priority="3040">
      <formula>OR(P8="Sa",P8="Di",R8="F")</formula>
    </cfRule>
    <cfRule type="expression" dxfId="2950" priority="3041">
      <formula>P8&lt;&gt;""</formula>
    </cfRule>
  </conditionalFormatting>
  <conditionalFormatting sqref="S8">
    <cfRule type="cellIs" dxfId="2949" priority="3038" operator="equal">
      <formula>" "</formula>
    </cfRule>
    <cfRule type="expression" dxfId="2948" priority="3039">
      <formula>OR(P8="Sa",P8="Di",R8="F")</formula>
    </cfRule>
    <cfRule type="expression" dxfId="2947" priority="3042">
      <formula>P8&lt;&gt;""</formula>
    </cfRule>
  </conditionalFormatting>
  <conditionalFormatting sqref="T8">
    <cfRule type="cellIs" dxfId="2946" priority="3035" operator="equal">
      <formula>" "</formula>
    </cfRule>
    <cfRule type="expression" dxfId="2945" priority="3036">
      <formula>OR(P8="Sa",P8="Di",R8="F")</formula>
    </cfRule>
    <cfRule type="expression" dxfId="2944" priority="3037">
      <formula>Q8&lt;&gt;""</formula>
    </cfRule>
  </conditionalFormatting>
  <conditionalFormatting sqref="U10">
    <cfRule type="cellIs" dxfId="2943" priority="3025" operator="equal">
      <formula>" "</formula>
    </cfRule>
    <cfRule type="expression" dxfId="2942" priority="3031">
      <formula>OR(P10="Sa",P10="Di",R10="F")</formula>
    </cfRule>
    <cfRule type="expression" dxfId="2941" priority="3032">
      <formula>P10&lt;&gt;""</formula>
    </cfRule>
  </conditionalFormatting>
  <conditionalFormatting sqref="S10">
    <cfRule type="cellIs" dxfId="2940" priority="3029" operator="equal">
      <formula>" "</formula>
    </cfRule>
    <cfRule type="expression" dxfId="2939" priority="3030">
      <formula>OR(P10="Sa",P10="Di",R10="F")</formula>
    </cfRule>
    <cfRule type="expression" dxfId="2938" priority="3033">
      <formula>P10&lt;&gt;""</formula>
    </cfRule>
  </conditionalFormatting>
  <conditionalFormatting sqref="T10">
    <cfRule type="cellIs" dxfId="2937" priority="3026" operator="equal">
      <formula>" "</formula>
    </cfRule>
    <cfRule type="expression" dxfId="2936" priority="3027">
      <formula>OR(P10="Sa",P10="Di",R10="F")</formula>
    </cfRule>
    <cfRule type="expression" dxfId="2935" priority="3028">
      <formula>Q10&lt;&gt;""</formula>
    </cfRule>
  </conditionalFormatting>
  <conditionalFormatting sqref="U12">
    <cfRule type="cellIs" dxfId="2934" priority="3016" operator="equal">
      <formula>" "</formula>
    </cfRule>
    <cfRule type="expression" dxfId="2933" priority="3022">
      <formula>OR(P12="Sa",P12="Di",R12="F")</formula>
    </cfRule>
    <cfRule type="expression" dxfId="2932" priority="3023">
      <formula>P12&lt;&gt;""</formula>
    </cfRule>
  </conditionalFormatting>
  <conditionalFormatting sqref="S12">
    <cfRule type="cellIs" dxfId="2931" priority="3020" operator="equal">
      <formula>" "</formula>
    </cfRule>
    <cfRule type="expression" dxfId="2930" priority="3021">
      <formula>OR(P12="Sa",P12="Di",R12="F")</formula>
    </cfRule>
    <cfRule type="expression" dxfId="2929" priority="3024">
      <formula>P12&lt;&gt;""</formula>
    </cfRule>
  </conditionalFormatting>
  <conditionalFormatting sqref="T12">
    <cfRule type="cellIs" dxfId="2928" priority="3017" operator="equal">
      <formula>" "</formula>
    </cfRule>
    <cfRule type="expression" dxfId="2927" priority="3018">
      <formula>OR(P12="Sa",P12="Di",R12="F")</formula>
    </cfRule>
    <cfRule type="expression" dxfId="2926" priority="3019">
      <formula>Q12&lt;&gt;""</formula>
    </cfRule>
  </conditionalFormatting>
  <conditionalFormatting sqref="U14">
    <cfRule type="cellIs" dxfId="2925" priority="3007" operator="equal">
      <formula>" "</formula>
    </cfRule>
    <cfRule type="expression" dxfId="2924" priority="3013">
      <formula>OR(P14="Sa",P14="Di",R14="F")</formula>
    </cfRule>
    <cfRule type="expression" dxfId="2923" priority="3014">
      <formula>P14&lt;&gt;""</formula>
    </cfRule>
  </conditionalFormatting>
  <conditionalFormatting sqref="S14">
    <cfRule type="cellIs" dxfId="2922" priority="3011" operator="equal">
      <formula>" "</formula>
    </cfRule>
    <cfRule type="expression" dxfId="2921" priority="3012">
      <formula>OR(P14="Sa",P14="Di",R14="F")</formula>
    </cfRule>
    <cfRule type="expression" dxfId="2920" priority="3015">
      <formula>P14&lt;&gt;""</formula>
    </cfRule>
  </conditionalFormatting>
  <conditionalFormatting sqref="T14">
    <cfRule type="cellIs" dxfId="2919" priority="3008" operator="equal">
      <formula>" "</formula>
    </cfRule>
    <cfRule type="expression" dxfId="2918" priority="3009">
      <formula>OR(P14="Sa",P14="Di",R14="F")</formula>
    </cfRule>
    <cfRule type="expression" dxfId="2917" priority="3010">
      <formula>Q14&lt;&gt;""</formula>
    </cfRule>
  </conditionalFormatting>
  <conditionalFormatting sqref="U16">
    <cfRule type="cellIs" dxfId="2916" priority="2998" operator="equal">
      <formula>" "</formula>
    </cfRule>
    <cfRule type="expression" dxfId="2915" priority="3004">
      <formula>OR(P16="Sa",P16="Di",R16="F")</formula>
    </cfRule>
    <cfRule type="expression" dxfId="2914" priority="3005">
      <formula>P16&lt;&gt;""</formula>
    </cfRule>
  </conditionalFormatting>
  <conditionalFormatting sqref="S16">
    <cfRule type="cellIs" dxfId="2913" priority="3002" operator="equal">
      <formula>" "</formula>
    </cfRule>
    <cfRule type="expression" dxfId="2912" priority="3003">
      <formula>OR(P16="Sa",P16="Di",R16="F")</formula>
    </cfRule>
    <cfRule type="expression" dxfId="2911" priority="3006">
      <formula>P16&lt;&gt;""</formula>
    </cfRule>
  </conditionalFormatting>
  <conditionalFormatting sqref="T16">
    <cfRule type="cellIs" dxfId="2910" priority="2999" operator="equal">
      <formula>" "</formula>
    </cfRule>
    <cfRule type="expression" dxfId="2909" priority="3000">
      <formula>OR(P16="Sa",P16="Di",R16="F")</formula>
    </cfRule>
    <cfRule type="expression" dxfId="2908" priority="3001">
      <formula>Q16&lt;&gt;""</formula>
    </cfRule>
  </conditionalFormatting>
  <conditionalFormatting sqref="U18">
    <cfRule type="cellIs" dxfId="2907" priority="2989" operator="equal">
      <formula>" "</formula>
    </cfRule>
    <cfRule type="expression" dxfId="2906" priority="2995">
      <formula>OR(P18="Sa",P18="Di",R18="F")</formula>
    </cfRule>
    <cfRule type="expression" dxfId="2905" priority="2996">
      <formula>P18&lt;&gt;""</formula>
    </cfRule>
  </conditionalFormatting>
  <conditionalFormatting sqref="S18">
    <cfRule type="cellIs" dxfId="2904" priority="2993" operator="equal">
      <formula>" "</formula>
    </cfRule>
    <cfRule type="expression" dxfId="2903" priority="2994">
      <formula>OR(P18="Sa",P18="Di",R18="F")</formula>
    </cfRule>
    <cfRule type="expression" dxfId="2902" priority="2997">
      <formula>P18&lt;&gt;""</formula>
    </cfRule>
  </conditionalFormatting>
  <conditionalFormatting sqref="T18">
    <cfRule type="cellIs" dxfId="2901" priority="2990" operator="equal">
      <formula>" "</formula>
    </cfRule>
    <cfRule type="expression" dxfId="2900" priority="2991">
      <formula>OR(P18="Sa",P18="Di",R18="F")</formula>
    </cfRule>
    <cfRule type="expression" dxfId="2899" priority="2992">
      <formula>Q18&lt;&gt;""</formula>
    </cfRule>
  </conditionalFormatting>
  <conditionalFormatting sqref="U20">
    <cfRule type="cellIs" dxfId="2898" priority="2980" operator="equal">
      <formula>" "</formula>
    </cfRule>
    <cfRule type="expression" dxfId="2897" priority="2986">
      <formula>OR(P20="Sa",P20="Di",R20="F")</formula>
    </cfRule>
    <cfRule type="expression" dxfId="2896" priority="2987">
      <formula>P20&lt;&gt;""</formula>
    </cfRule>
  </conditionalFormatting>
  <conditionalFormatting sqref="S20">
    <cfRule type="cellIs" dxfId="2895" priority="2984" operator="equal">
      <formula>" "</formula>
    </cfRule>
    <cfRule type="expression" dxfId="2894" priority="2985">
      <formula>OR(P20="Sa",P20="Di",R20="F")</formula>
    </cfRule>
    <cfRule type="expression" dxfId="2893" priority="2988">
      <formula>P20&lt;&gt;""</formula>
    </cfRule>
  </conditionalFormatting>
  <conditionalFormatting sqref="T20">
    <cfRule type="cellIs" dxfId="2892" priority="2981" operator="equal">
      <formula>" "</formula>
    </cfRule>
    <cfRule type="expression" dxfId="2891" priority="2982">
      <formula>OR(P20="Sa",P20="Di",R20="F")</formula>
    </cfRule>
    <cfRule type="expression" dxfId="2890" priority="2983">
      <formula>Q20&lt;&gt;""</formula>
    </cfRule>
  </conditionalFormatting>
  <conditionalFormatting sqref="U22">
    <cfRule type="cellIs" dxfId="2889" priority="2971" operator="equal">
      <formula>" "</formula>
    </cfRule>
    <cfRule type="expression" dxfId="2888" priority="2977">
      <formula>OR(P22="Sa",P22="Di",R22="F")</formula>
    </cfRule>
    <cfRule type="expression" dxfId="2887" priority="2978">
      <formula>P22&lt;&gt;""</formula>
    </cfRule>
  </conditionalFormatting>
  <conditionalFormatting sqref="S22">
    <cfRule type="cellIs" dxfId="2886" priority="2975" operator="equal">
      <formula>" "</formula>
    </cfRule>
    <cfRule type="expression" dxfId="2885" priority="2976">
      <formula>OR(P22="Sa",P22="Di",R22="F")</formula>
    </cfRule>
    <cfRule type="expression" dxfId="2884" priority="2979">
      <formula>P22&lt;&gt;""</formula>
    </cfRule>
  </conditionalFormatting>
  <conditionalFormatting sqref="T22">
    <cfRule type="cellIs" dxfId="2883" priority="2972" operator="equal">
      <formula>" "</formula>
    </cfRule>
    <cfRule type="expression" dxfId="2882" priority="2973">
      <formula>OR(P22="Sa",P22="Di",R22="F")</formula>
    </cfRule>
    <cfRule type="expression" dxfId="2881" priority="2974">
      <formula>Q22&lt;&gt;""</formula>
    </cfRule>
  </conditionalFormatting>
  <conditionalFormatting sqref="U24">
    <cfRule type="cellIs" dxfId="2880" priority="2962" operator="equal">
      <formula>" "</formula>
    </cfRule>
    <cfRule type="expression" dxfId="2879" priority="2968">
      <formula>OR(P24="Sa",P24="Di",R24="F")</formula>
    </cfRule>
    <cfRule type="expression" dxfId="2878" priority="2969">
      <formula>P24&lt;&gt;""</formula>
    </cfRule>
  </conditionalFormatting>
  <conditionalFormatting sqref="S24">
    <cfRule type="cellIs" dxfId="2877" priority="2966" operator="equal">
      <formula>" "</formula>
    </cfRule>
    <cfRule type="expression" dxfId="2876" priority="2967">
      <formula>OR(P24="Sa",P24="Di",R24="F")</formula>
    </cfRule>
    <cfRule type="expression" dxfId="2875" priority="2970">
      <formula>P24&lt;&gt;""</formula>
    </cfRule>
  </conditionalFormatting>
  <conditionalFormatting sqref="T24">
    <cfRule type="cellIs" dxfId="2874" priority="2963" operator="equal">
      <formula>" "</formula>
    </cfRule>
    <cfRule type="expression" dxfId="2873" priority="2964">
      <formula>OR(P24="Sa",P24="Di",R24="F")</formula>
    </cfRule>
    <cfRule type="expression" dxfId="2872" priority="2965">
      <formula>Q24&lt;&gt;""</formula>
    </cfRule>
  </conditionalFormatting>
  <conditionalFormatting sqref="U26">
    <cfRule type="cellIs" dxfId="2871" priority="2953" operator="equal">
      <formula>" "</formula>
    </cfRule>
    <cfRule type="expression" dxfId="2870" priority="2959">
      <formula>OR(P26="Sa",P26="Di",R26="F")</formula>
    </cfRule>
    <cfRule type="expression" dxfId="2869" priority="2960">
      <formula>P26&lt;&gt;""</formula>
    </cfRule>
  </conditionalFormatting>
  <conditionalFormatting sqref="S26">
    <cfRule type="cellIs" dxfId="2868" priority="2957" operator="equal">
      <formula>" "</formula>
    </cfRule>
    <cfRule type="expression" dxfId="2867" priority="2958">
      <formula>OR(P26="Sa",P26="Di",R26="F")</formula>
    </cfRule>
    <cfRule type="expression" dxfId="2866" priority="2961">
      <formula>P26&lt;&gt;""</formula>
    </cfRule>
  </conditionalFormatting>
  <conditionalFormatting sqref="T26">
    <cfRule type="cellIs" dxfId="2865" priority="2954" operator="equal">
      <formula>" "</formula>
    </cfRule>
    <cfRule type="expression" dxfId="2864" priority="2955">
      <formula>OR(P26="Sa",P26="Di",R26="F")</formula>
    </cfRule>
    <cfRule type="expression" dxfId="2863" priority="2956">
      <formula>Q26&lt;&gt;""</formula>
    </cfRule>
  </conditionalFormatting>
  <conditionalFormatting sqref="U28">
    <cfRule type="cellIs" dxfId="2862" priority="2944" operator="equal">
      <formula>" "</formula>
    </cfRule>
    <cfRule type="expression" dxfId="2861" priority="2950">
      <formula>OR(P28="Sa",P28="Di",R28="F")</formula>
    </cfRule>
    <cfRule type="expression" dxfId="2860" priority="2951">
      <formula>P28&lt;&gt;""</formula>
    </cfRule>
  </conditionalFormatting>
  <conditionalFormatting sqref="S28">
    <cfRule type="cellIs" dxfId="2859" priority="2948" operator="equal">
      <formula>" "</formula>
    </cfRule>
    <cfRule type="expression" dxfId="2858" priority="2949">
      <formula>OR(P28="Sa",P28="Di",R28="F")</formula>
    </cfRule>
    <cfRule type="expression" dxfId="2857" priority="2952">
      <formula>P28&lt;&gt;""</formula>
    </cfRule>
  </conditionalFormatting>
  <conditionalFormatting sqref="T28">
    <cfRule type="cellIs" dxfId="2856" priority="2945" operator="equal">
      <formula>" "</formula>
    </cfRule>
    <cfRule type="expression" dxfId="2855" priority="2946">
      <formula>OR(P28="Sa",P28="Di",R28="F")</formula>
    </cfRule>
    <cfRule type="expression" dxfId="2854" priority="2947">
      <formula>Q28&lt;&gt;""</formula>
    </cfRule>
  </conditionalFormatting>
  <conditionalFormatting sqref="U30">
    <cfRule type="cellIs" dxfId="2853" priority="2935" operator="equal">
      <formula>" "</formula>
    </cfRule>
    <cfRule type="expression" dxfId="2852" priority="2941">
      <formula>OR(P30="Sa",P30="Di",R30="F")</formula>
    </cfRule>
    <cfRule type="expression" dxfId="2851" priority="2942">
      <formula>P30&lt;&gt;""</formula>
    </cfRule>
  </conditionalFormatting>
  <conditionalFormatting sqref="S30">
    <cfRule type="cellIs" dxfId="2850" priority="2939" operator="equal">
      <formula>" "</formula>
    </cfRule>
    <cfRule type="expression" dxfId="2849" priority="2940">
      <formula>OR(P30="Sa",P30="Di",R30="F")</formula>
    </cfRule>
    <cfRule type="expression" dxfId="2848" priority="2943">
      <formula>P30&lt;&gt;""</formula>
    </cfRule>
  </conditionalFormatting>
  <conditionalFormatting sqref="T30">
    <cfRule type="cellIs" dxfId="2847" priority="2936" operator="equal">
      <formula>" "</formula>
    </cfRule>
    <cfRule type="expression" dxfId="2846" priority="2937">
      <formula>OR(P30="Sa",P30="Di",R30="F")</formula>
    </cfRule>
    <cfRule type="expression" dxfId="2845" priority="2938">
      <formula>Q30&lt;&gt;""</formula>
    </cfRule>
  </conditionalFormatting>
  <conditionalFormatting sqref="U32">
    <cfRule type="cellIs" dxfId="2844" priority="2926" operator="equal">
      <formula>" "</formula>
    </cfRule>
    <cfRule type="expression" dxfId="2843" priority="2932">
      <formula>OR(P32="Sa",P32="Di",R32="F")</formula>
    </cfRule>
    <cfRule type="expression" dxfId="2842" priority="2933">
      <formula>P32&lt;&gt;""</formula>
    </cfRule>
  </conditionalFormatting>
  <conditionalFormatting sqref="S32">
    <cfRule type="cellIs" dxfId="2841" priority="2930" operator="equal">
      <formula>" "</formula>
    </cfRule>
    <cfRule type="expression" dxfId="2840" priority="2931">
      <formula>OR(P32="Sa",P32="Di",R32="F")</formula>
    </cfRule>
    <cfRule type="expression" dxfId="2839" priority="2934">
      <formula>P32&lt;&gt;""</formula>
    </cfRule>
  </conditionalFormatting>
  <conditionalFormatting sqref="T32">
    <cfRule type="cellIs" dxfId="2838" priority="2927" operator="equal">
      <formula>" "</formula>
    </cfRule>
    <cfRule type="expression" dxfId="2837" priority="2928">
      <formula>OR(P32="Sa",P32="Di",R32="F")</formula>
    </cfRule>
    <cfRule type="expression" dxfId="2836" priority="2929">
      <formula>Q32&lt;&gt;""</formula>
    </cfRule>
  </conditionalFormatting>
  <conditionalFormatting sqref="U34">
    <cfRule type="cellIs" dxfId="2835" priority="2917" operator="equal">
      <formula>" "</formula>
    </cfRule>
    <cfRule type="expression" dxfId="2834" priority="2923">
      <formula>OR(P34="Sa",P34="Di",R34="F")</formula>
    </cfRule>
    <cfRule type="expression" dxfId="2833" priority="2924">
      <formula>P34&lt;&gt;""</formula>
    </cfRule>
  </conditionalFormatting>
  <conditionalFormatting sqref="S34">
    <cfRule type="cellIs" dxfId="2832" priority="2921" operator="equal">
      <formula>" "</formula>
    </cfRule>
    <cfRule type="expression" dxfId="2831" priority="2922">
      <formula>OR(P34="Sa",P34="Di",R34="F")</formula>
    </cfRule>
    <cfRule type="expression" dxfId="2830" priority="2925">
      <formula>P34&lt;&gt;""</formula>
    </cfRule>
  </conditionalFormatting>
  <conditionalFormatting sqref="T34">
    <cfRule type="cellIs" dxfId="2829" priority="2918" operator="equal">
      <formula>" "</formula>
    </cfRule>
    <cfRule type="expression" dxfId="2828" priority="2919">
      <formula>OR(P34="Sa",P34="Di",R34="F")</formula>
    </cfRule>
    <cfRule type="expression" dxfId="2827" priority="2920">
      <formula>Q34&lt;&gt;""</formula>
    </cfRule>
  </conditionalFormatting>
  <conditionalFormatting sqref="U36">
    <cfRule type="cellIs" dxfId="2826" priority="2908" operator="equal">
      <formula>" "</formula>
    </cfRule>
    <cfRule type="expression" dxfId="2825" priority="2914">
      <formula>OR(P36="Sa",P36="Di",R36="F")</formula>
    </cfRule>
    <cfRule type="expression" dxfId="2824" priority="2915">
      <formula>P36&lt;&gt;""</formula>
    </cfRule>
  </conditionalFormatting>
  <conditionalFormatting sqref="S36">
    <cfRule type="cellIs" dxfId="2823" priority="2912" operator="equal">
      <formula>" "</formula>
    </cfRule>
    <cfRule type="expression" dxfId="2822" priority="2913">
      <formula>OR(P36="Sa",P36="Di",R36="F")</formula>
    </cfRule>
    <cfRule type="expression" dxfId="2821" priority="2916">
      <formula>P36&lt;&gt;""</formula>
    </cfRule>
  </conditionalFormatting>
  <conditionalFormatting sqref="T36">
    <cfRule type="cellIs" dxfId="2820" priority="2909" operator="equal">
      <formula>" "</formula>
    </cfRule>
    <cfRule type="expression" dxfId="2819" priority="2910">
      <formula>OR(P36="Sa",P36="Di",R36="F")</formula>
    </cfRule>
    <cfRule type="expression" dxfId="2818" priority="2911">
      <formula>Q36&lt;&gt;""</formula>
    </cfRule>
  </conditionalFormatting>
  <conditionalFormatting sqref="U38">
    <cfRule type="cellIs" dxfId="2817" priority="2899" operator="equal">
      <formula>" "</formula>
    </cfRule>
    <cfRule type="expression" dxfId="2816" priority="2905">
      <formula>OR(P38="Sa",P38="Di",R38="F")</formula>
    </cfRule>
    <cfRule type="expression" dxfId="2815" priority="2906">
      <formula>P38&lt;&gt;""</formula>
    </cfRule>
  </conditionalFormatting>
  <conditionalFormatting sqref="S38">
    <cfRule type="cellIs" dxfId="2814" priority="2903" operator="equal">
      <formula>" "</formula>
    </cfRule>
    <cfRule type="expression" dxfId="2813" priority="2904">
      <formula>OR(P38="Sa",P38="Di",R38="F")</formula>
    </cfRule>
    <cfRule type="expression" dxfId="2812" priority="2907">
      <formula>P38&lt;&gt;""</formula>
    </cfRule>
  </conditionalFormatting>
  <conditionalFormatting sqref="T38">
    <cfRule type="cellIs" dxfId="2811" priority="2900" operator="equal">
      <formula>" "</formula>
    </cfRule>
    <cfRule type="expression" dxfId="2810" priority="2901">
      <formula>OR(P38="Sa",P38="Di",R38="F")</formula>
    </cfRule>
    <cfRule type="expression" dxfId="2809" priority="2902">
      <formula>Q38&lt;&gt;""</formula>
    </cfRule>
  </conditionalFormatting>
  <conditionalFormatting sqref="U40">
    <cfRule type="cellIs" dxfId="2808" priority="2890" operator="equal">
      <formula>" "</formula>
    </cfRule>
    <cfRule type="expression" dxfId="2807" priority="2896">
      <formula>OR(P40="Sa",P40="Di",R40="F")</formula>
    </cfRule>
    <cfRule type="expression" dxfId="2806" priority="2897">
      <formula>P40&lt;&gt;""</formula>
    </cfRule>
  </conditionalFormatting>
  <conditionalFormatting sqref="S40">
    <cfRule type="cellIs" dxfId="2805" priority="2894" operator="equal">
      <formula>" "</formula>
    </cfRule>
    <cfRule type="expression" dxfId="2804" priority="2895">
      <formula>OR(P40="Sa",P40="Di",R40="F")</formula>
    </cfRule>
    <cfRule type="expression" dxfId="2803" priority="2898">
      <formula>P40&lt;&gt;""</formula>
    </cfRule>
  </conditionalFormatting>
  <conditionalFormatting sqref="T40">
    <cfRule type="cellIs" dxfId="2802" priority="2891" operator="equal">
      <formula>" "</formula>
    </cfRule>
    <cfRule type="expression" dxfId="2801" priority="2892">
      <formula>OR(P40="Sa",P40="Di",R40="F")</formula>
    </cfRule>
    <cfRule type="expression" dxfId="2800" priority="2893">
      <formula>Q40&lt;&gt;""</formula>
    </cfRule>
  </conditionalFormatting>
  <conditionalFormatting sqref="U42">
    <cfRule type="cellIs" dxfId="2799" priority="2881" operator="equal">
      <formula>" "</formula>
    </cfRule>
    <cfRule type="expression" dxfId="2798" priority="2887">
      <formula>OR(P42="Sa",P42="Di",R42="F")</formula>
    </cfRule>
    <cfRule type="expression" dxfId="2797" priority="2888">
      <formula>P42&lt;&gt;""</formula>
    </cfRule>
  </conditionalFormatting>
  <conditionalFormatting sqref="S42">
    <cfRule type="cellIs" dxfId="2796" priority="2885" operator="equal">
      <formula>" "</formula>
    </cfRule>
    <cfRule type="expression" dxfId="2795" priority="2886">
      <formula>OR(P42="Sa",P42="Di",R42="F")</formula>
    </cfRule>
    <cfRule type="expression" dxfId="2794" priority="2889">
      <formula>P42&lt;&gt;""</formula>
    </cfRule>
  </conditionalFormatting>
  <conditionalFormatting sqref="T42">
    <cfRule type="cellIs" dxfId="2793" priority="2882" operator="equal">
      <formula>" "</formula>
    </cfRule>
    <cfRule type="expression" dxfId="2792" priority="2883">
      <formula>OR(P42="Sa",P42="Di",R42="F")</formula>
    </cfRule>
    <cfRule type="expression" dxfId="2791" priority="2884">
      <formula>Q42&lt;&gt;""</formula>
    </cfRule>
  </conditionalFormatting>
  <conditionalFormatting sqref="U44">
    <cfRule type="cellIs" dxfId="2790" priority="2872" operator="equal">
      <formula>" "</formula>
    </cfRule>
    <cfRule type="expression" dxfId="2789" priority="2878">
      <formula>OR(P44="Sa",P44="Di",R44="F")</formula>
    </cfRule>
    <cfRule type="expression" dxfId="2788" priority="2879">
      <formula>P44&lt;&gt;""</formula>
    </cfRule>
  </conditionalFormatting>
  <conditionalFormatting sqref="S44">
    <cfRule type="cellIs" dxfId="2787" priority="2876" operator="equal">
      <formula>" "</formula>
    </cfRule>
    <cfRule type="expression" dxfId="2786" priority="2877">
      <formula>OR(P44="Sa",P44="Di",R44="F")</formula>
    </cfRule>
    <cfRule type="expression" dxfId="2785" priority="2880">
      <formula>P44&lt;&gt;""</formula>
    </cfRule>
  </conditionalFormatting>
  <conditionalFormatting sqref="T44">
    <cfRule type="cellIs" dxfId="2784" priority="2873" operator="equal">
      <formula>" "</formula>
    </cfRule>
    <cfRule type="expression" dxfId="2783" priority="2874">
      <formula>OR(P44="Sa",P44="Di",R44="F")</formula>
    </cfRule>
    <cfRule type="expression" dxfId="2782" priority="2875">
      <formula>Q44&lt;&gt;""</formula>
    </cfRule>
  </conditionalFormatting>
  <conditionalFormatting sqref="U46">
    <cfRule type="cellIs" dxfId="2781" priority="2863" operator="equal">
      <formula>" "</formula>
    </cfRule>
    <cfRule type="expression" dxfId="2780" priority="2869">
      <formula>OR(P46="Sa",P46="Di",R46="F")</formula>
    </cfRule>
    <cfRule type="expression" dxfId="2779" priority="2870">
      <formula>P46&lt;&gt;""</formula>
    </cfRule>
  </conditionalFormatting>
  <conditionalFormatting sqref="S46">
    <cfRule type="cellIs" dxfId="2778" priority="2867" operator="equal">
      <formula>" "</formula>
    </cfRule>
    <cfRule type="expression" dxfId="2777" priority="2868">
      <formula>OR(P46="Sa",P46="Di",R46="F")</formula>
    </cfRule>
    <cfRule type="expression" dxfId="2776" priority="2871">
      <formula>P46&lt;&gt;""</formula>
    </cfRule>
  </conditionalFormatting>
  <conditionalFormatting sqref="T46">
    <cfRule type="cellIs" dxfId="2775" priority="2864" operator="equal">
      <formula>" "</formula>
    </cfRule>
    <cfRule type="expression" dxfId="2774" priority="2865">
      <formula>OR(P46="Sa",P46="Di",R46="F")</formula>
    </cfRule>
    <cfRule type="expression" dxfId="2773" priority="2866">
      <formula>Q46&lt;&gt;""</formula>
    </cfRule>
  </conditionalFormatting>
  <conditionalFormatting sqref="U48">
    <cfRule type="cellIs" dxfId="2772" priority="2854" operator="equal">
      <formula>" "</formula>
    </cfRule>
    <cfRule type="expression" dxfId="2771" priority="2860">
      <formula>OR(P48="Sa",P48="Di",R48="F")</formula>
    </cfRule>
    <cfRule type="expression" dxfId="2770" priority="2861">
      <formula>P48&lt;&gt;""</formula>
    </cfRule>
  </conditionalFormatting>
  <conditionalFormatting sqref="S48">
    <cfRule type="cellIs" dxfId="2769" priority="2858" operator="equal">
      <formula>" "</formula>
    </cfRule>
    <cfRule type="expression" dxfId="2768" priority="2859">
      <formula>OR(P48="Sa",P48="Di",R48="F")</formula>
    </cfRule>
    <cfRule type="expression" dxfId="2767" priority="2862">
      <formula>P48&lt;&gt;""</formula>
    </cfRule>
  </conditionalFormatting>
  <conditionalFormatting sqref="T48">
    <cfRule type="cellIs" dxfId="2766" priority="2855" operator="equal">
      <formula>" "</formula>
    </cfRule>
    <cfRule type="expression" dxfId="2765" priority="2856">
      <formula>OR(P48="Sa",P48="Di",R48="F")</formula>
    </cfRule>
    <cfRule type="expression" dxfId="2764" priority="2857">
      <formula>Q48&lt;&gt;""</formula>
    </cfRule>
  </conditionalFormatting>
  <conditionalFormatting sqref="U50">
    <cfRule type="cellIs" dxfId="2763" priority="2845" operator="equal">
      <formula>" "</formula>
    </cfRule>
    <cfRule type="expression" dxfId="2762" priority="2851">
      <formula>OR(P50="Sa",P50="Di",R50="F")</formula>
    </cfRule>
    <cfRule type="expression" dxfId="2761" priority="2852">
      <formula>P50&lt;&gt;""</formula>
    </cfRule>
  </conditionalFormatting>
  <conditionalFormatting sqref="S50">
    <cfRule type="cellIs" dxfId="2760" priority="2849" operator="equal">
      <formula>" "</formula>
    </cfRule>
    <cfRule type="expression" dxfId="2759" priority="2850">
      <formula>OR(P50="Sa",P50="Di",R50="F")</formula>
    </cfRule>
    <cfRule type="expression" dxfId="2758" priority="2853">
      <formula>P50&lt;&gt;""</formula>
    </cfRule>
  </conditionalFormatting>
  <conditionalFormatting sqref="T50">
    <cfRule type="cellIs" dxfId="2757" priority="2846" operator="equal">
      <formula>" "</formula>
    </cfRule>
    <cfRule type="expression" dxfId="2756" priority="2847">
      <formula>OR(P50="Sa",P50="Di",R50="F")</formula>
    </cfRule>
    <cfRule type="expression" dxfId="2755" priority="2848">
      <formula>Q50&lt;&gt;""</formula>
    </cfRule>
  </conditionalFormatting>
  <conditionalFormatting sqref="U52">
    <cfRule type="cellIs" dxfId="2754" priority="2836" operator="equal">
      <formula>" "</formula>
    </cfRule>
    <cfRule type="expression" dxfId="2753" priority="2842">
      <formula>OR(P52="Sa",P52="Di",R52="F")</formula>
    </cfRule>
    <cfRule type="expression" dxfId="2752" priority="2843">
      <formula>P52&lt;&gt;""</formula>
    </cfRule>
  </conditionalFormatting>
  <conditionalFormatting sqref="S52">
    <cfRule type="cellIs" dxfId="2751" priority="2840" operator="equal">
      <formula>" "</formula>
    </cfRule>
    <cfRule type="expression" dxfId="2750" priority="2841">
      <formula>OR(P52="Sa",P52="Di",R52="F")</formula>
    </cfRule>
    <cfRule type="expression" dxfId="2749" priority="2844">
      <formula>P52&lt;&gt;""</formula>
    </cfRule>
  </conditionalFormatting>
  <conditionalFormatting sqref="T52">
    <cfRule type="cellIs" dxfId="2748" priority="2837" operator="equal">
      <formula>" "</formula>
    </cfRule>
    <cfRule type="expression" dxfId="2747" priority="2838">
      <formula>OR(P52="Sa",P52="Di",R52="F")</formula>
    </cfRule>
    <cfRule type="expression" dxfId="2746" priority="2839">
      <formula>Q52&lt;&gt;""</formula>
    </cfRule>
  </conditionalFormatting>
  <conditionalFormatting sqref="U54">
    <cfRule type="cellIs" dxfId="2745" priority="2827" operator="equal">
      <formula>" "</formula>
    </cfRule>
    <cfRule type="expression" dxfId="2744" priority="2833">
      <formula>OR(P54="Sa",P54="Di",R54="F")</formula>
    </cfRule>
    <cfRule type="expression" dxfId="2743" priority="2834">
      <formula>P54&lt;&gt;""</formula>
    </cfRule>
  </conditionalFormatting>
  <conditionalFormatting sqref="S54">
    <cfRule type="cellIs" dxfId="2742" priority="2831" operator="equal">
      <formula>" "</formula>
    </cfRule>
    <cfRule type="expression" dxfId="2741" priority="2832">
      <formula>OR(P54="Sa",P54="Di",R54="F")</formula>
    </cfRule>
    <cfRule type="expression" dxfId="2740" priority="2835">
      <formula>P54&lt;&gt;""</formula>
    </cfRule>
  </conditionalFormatting>
  <conditionalFormatting sqref="T54">
    <cfRule type="cellIs" dxfId="2739" priority="2828" operator="equal">
      <formula>" "</formula>
    </cfRule>
    <cfRule type="expression" dxfId="2738" priority="2829">
      <formula>OR(P54="Sa",P54="Di",R54="F")</formula>
    </cfRule>
    <cfRule type="expression" dxfId="2737" priority="2830">
      <formula>Q54&lt;&gt;""</formula>
    </cfRule>
  </conditionalFormatting>
  <conditionalFormatting sqref="U56">
    <cfRule type="cellIs" dxfId="2736" priority="2818" operator="equal">
      <formula>" "</formula>
    </cfRule>
    <cfRule type="expression" dxfId="2735" priority="2824">
      <formula>OR(P56="Sa",P56="Di",R56="F")</formula>
    </cfRule>
    <cfRule type="expression" dxfId="2734" priority="2825">
      <formula>P56&lt;&gt;""</formula>
    </cfRule>
  </conditionalFormatting>
  <conditionalFormatting sqref="S56">
    <cfRule type="cellIs" dxfId="2733" priority="2822" operator="equal">
      <formula>" "</formula>
    </cfRule>
    <cfRule type="expression" dxfId="2732" priority="2823">
      <formula>OR(P56="Sa",P56="Di",R56="F")</formula>
    </cfRule>
    <cfRule type="expression" dxfId="2731" priority="2826">
      <formula>P56&lt;&gt;""</formula>
    </cfRule>
  </conditionalFormatting>
  <conditionalFormatting sqref="T56">
    <cfRule type="cellIs" dxfId="2730" priority="2819" operator="equal">
      <formula>" "</formula>
    </cfRule>
    <cfRule type="expression" dxfId="2729" priority="2820">
      <formula>OR(P56="Sa",P56="Di",R56="F")</formula>
    </cfRule>
    <cfRule type="expression" dxfId="2728" priority="2821">
      <formula>Q56&lt;&gt;""</formula>
    </cfRule>
  </conditionalFormatting>
  <conditionalFormatting sqref="U62">
    <cfRule type="cellIs" dxfId="2727" priority="2791" operator="equal">
      <formula>" "</formula>
    </cfRule>
    <cfRule type="expression" dxfId="2726" priority="2797">
      <formula>OR(P62="Sa",P62="Di",R62="F")</formula>
    </cfRule>
    <cfRule type="expression" dxfId="2725" priority="2798">
      <formula>P62&lt;&gt;""</formula>
    </cfRule>
  </conditionalFormatting>
  <conditionalFormatting sqref="S62">
    <cfRule type="cellIs" dxfId="2724" priority="2795" operator="equal">
      <formula>" "</formula>
    </cfRule>
    <cfRule type="expression" dxfId="2723" priority="2796">
      <formula>OR(P62="Sa",P62="Di",R62="F")</formula>
    </cfRule>
    <cfRule type="expression" dxfId="2722" priority="2799">
      <formula>P62&lt;&gt;""</formula>
    </cfRule>
  </conditionalFormatting>
  <conditionalFormatting sqref="T62">
    <cfRule type="cellIs" dxfId="2721" priority="2792" operator="equal">
      <formula>" "</formula>
    </cfRule>
    <cfRule type="expression" dxfId="2720" priority="2793">
      <formula>OR(P62="Sa",P62="Di",R62="F")</formula>
    </cfRule>
    <cfRule type="expression" dxfId="2719" priority="2794">
      <formula>Q62&lt;&gt;""</formula>
    </cfRule>
  </conditionalFormatting>
  <conditionalFormatting sqref="U64">
    <cfRule type="cellIs" dxfId="2718" priority="2782" operator="equal">
      <formula>" "</formula>
    </cfRule>
    <cfRule type="expression" dxfId="2717" priority="2788">
      <formula>OR(P64="Sa",P64="Di",R64="F")</formula>
    </cfRule>
    <cfRule type="expression" dxfId="2716" priority="2789">
      <formula>P64&lt;&gt;""</formula>
    </cfRule>
  </conditionalFormatting>
  <conditionalFormatting sqref="S64">
    <cfRule type="cellIs" dxfId="2715" priority="2786" operator="equal">
      <formula>" "</formula>
    </cfRule>
    <cfRule type="expression" dxfId="2714" priority="2787">
      <formula>OR(P64="Sa",P64="Di",R64="F")</formula>
    </cfRule>
    <cfRule type="expression" dxfId="2713" priority="2790">
      <formula>P64&lt;&gt;""</formula>
    </cfRule>
  </conditionalFormatting>
  <conditionalFormatting sqref="T64">
    <cfRule type="cellIs" dxfId="2712" priority="2783" operator="equal">
      <formula>" "</formula>
    </cfRule>
    <cfRule type="expression" dxfId="2711" priority="2784">
      <formula>OR(P64="Sa",P64="Di",R64="F")</formula>
    </cfRule>
    <cfRule type="expression" dxfId="2710" priority="2785">
      <formula>Q64&lt;&gt;""</formula>
    </cfRule>
  </conditionalFormatting>
  <conditionalFormatting sqref="U66">
    <cfRule type="cellIs" dxfId="2709" priority="2773" operator="equal">
      <formula>" "</formula>
    </cfRule>
    <cfRule type="expression" dxfId="2708" priority="2779">
      <formula>OR(P66="Sa",P66="Di",R66="F")</formula>
    </cfRule>
    <cfRule type="expression" dxfId="2707" priority="2780">
      <formula>P66&lt;&gt;""</formula>
    </cfRule>
  </conditionalFormatting>
  <conditionalFormatting sqref="S66">
    <cfRule type="cellIs" dxfId="2706" priority="2777" operator="equal">
      <formula>" "</formula>
    </cfRule>
    <cfRule type="expression" dxfId="2705" priority="2778">
      <formula>OR(P66="Sa",P66="Di",R66="F")</formula>
    </cfRule>
    <cfRule type="expression" dxfId="2704" priority="2781">
      <formula>P66&lt;&gt;""</formula>
    </cfRule>
  </conditionalFormatting>
  <conditionalFormatting sqref="T66">
    <cfRule type="cellIs" dxfId="2703" priority="2774" operator="equal">
      <formula>" "</formula>
    </cfRule>
    <cfRule type="expression" dxfId="2702" priority="2775">
      <formula>OR(P66="Sa",P66="Di",R66="F")</formula>
    </cfRule>
    <cfRule type="expression" dxfId="2701" priority="2776">
      <formula>Q66&lt;&gt;""</formula>
    </cfRule>
  </conditionalFormatting>
  <conditionalFormatting sqref="AB6">
    <cfRule type="cellIs" dxfId="2700" priority="2764" operator="equal">
      <formula>" "</formula>
    </cfRule>
    <cfRule type="expression" dxfId="2699" priority="2770">
      <formula>OR(W6="Sa",W6="Di",Y6="F")</formula>
    </cfRule>
    <cfRule type="expression" dxfId="2698" priority="2771">
      <formula>W6&lt;&gt;""</formula>
    </cfRule>
  </conditionalFormatting>
  <conditionalFormatting sqref="Z6">
    <cfRule type="cellIs" dxfId="2697" priority="2768" operator="equal">
      <formula>" "</formula>
    </cfRule>
    <cfRule type="expression" dxfId="2696" priority="2769">
      <formula>OR(W6="Sa",W6="Di",Y6="F")</formula>
    </cfRule>
    <cfRule type="expression" dxfId="2695" priority="2772">
      <formula>W6&lt;&gt;""</formula>
    </cfRule>
  </conditionalFormatting>
  <conditionalFormatting sqref="AA6">
    <cfRule type="cellIs" dxfId="2694" priority="2765" operator="equal">
      <formula>" "</formula>
    </cfRule>
    <cfRule type="expression" dxfId="2693" priority="2766">
      <formula>OR(W6="Sa",W6="Di",Y6="F")</formula>
    </cfRule>
    <cfRule type="expression" dxfId="2692" priority="2767">
      <formula>X6&lt;&gt;""</formula>
    </cfRule>
  </conditionalFormatting>
  <conditionalFormatting sqref="AB8">
    <cfRule type="cellIs" dxfId="2691" priority="2755" operator="equal">
      <formula>" "</formula>
    </cfRule>
    <cfRule type="expression" dxfId="2690" priority="2761">
      <formula>OR(W8="Sa",W8="Di",Y8="F")</formula>
    </cfRule>
    <cfRule type="expression" dxfId="2689" priority="2762">
      <formula>W8&lt;&gt;""</formula>
    </cfRule>
  </conditionalFormatting>
  <conditionalFormatting sqref="Z8">
    <cfRule type="cellIs" dxfId="2688" priority="2759" operator="equal">
      <formula>" "</formula>
    </cfRule>
    <cfRule type="expression" dxfId="2687" priority="2760">
      <formula>OR(W8="Sa",W8="Di",Y8="F")</formula>
    </cfRule>
    <cfRule type="expression" dxfId="2686" priority="2763">
      <formula>W8&lt;&gt;""</formula>
    </cfRule>
  </conditionalFormatting>
  <conditionalFormatting sqref="AA8">
    <cfRule type="cellIs" dxfId="2685" priority="2756" operator="equal">
      <formula>" "</formula>
    </cfRule>
    <cfRule type="expression" dxfId="2684" priority="2757">
      <formula>OR(W8="Sa",W8="Di",Y8="F")</formula>
    </cfRule>
    <cfRule type="expression" dxfId="2683" priority="2758">
      <formula>X8&lt;&gt;""</formula>
    </cfRule>
  </conditionalFormatting>
  <conditionalFormatting sqref="AB10">
    <cfRule type="cellIs" dxfId="2682" priority="2746" operator="equal">
      <formula>" "</formula>
    </cfRule>
    <cfRule type="expression" dxfId="2681" priority="2752">
      <formula>OR(W10="Sa",W10="Di",Y10="F")</formula>
    </cfRule>
    <cfRule type="expression" dxfId="2680" priority="2753">
      <formula>W10&lt;&gt;""</formula>
    </cfRule>
  </conditionalFormatting>
  <conditionalFormatting sqref="Z10">
    <cfRule type="cellIs" dxfId="2679" priority="2750" operator="equal">
      <formula>" "</formula>
    </cfRule>
    <cfRule type="expression" dxfId="2678" priority="2751">
      <formula>OR(W10="Sa",W10="Di",Y10="F")</formula>
    </cfRule>
    <cfRule type="expression" dxfId="2677" priority="2754">
      <formula>W10&lt;&gt;""</formula>
    </cfRule>
  </conditionalFormatting>
  <conditionalFormatting sqref="AA10">
    <cfRule type="cellIs" dxfId="2676" priority="2747" operator="equal">
      <formula>" "</formula>
    </cfRule>
    <cfRule type="expression" dxfId="2675" priority="2748">
      <formula>OR(W10="Sa",W10="Di",Y10="F")</formula>
    </cfRule>
    <cfRule type="expression" dxfId="2674" priority="2749">
      <formula>X10&lt;&gt;""</formula>
    </cfRule>
  </conditionalFormatting>
  <conditionalFormatting sqref="AB12">
    <cfRule type="cellIs" dxfId="2673" priority="2737" operator="equal">
      <formula>" "</formula>
    </cfRule>
    <cfRule type="expression" dxfId="2672" priority="2743">
      <formula>OR(W12="Sa",W12="Di",Y12="F")</formula>
    </cfRule>
    <cfRule type="expression" dxfId="2671" priority="2744">
      <formula>W12&lt;&gt;""</formula>
    </cfRule>
  </conditionalFormatting>
  <conditionalFormatting sqref="Z12">
    <cfRule type="cellIs" dxfId="2670" priority="2741" operator="equal">
      <formula>" "</formula>
    </cfRule>
    <cfRule type="expression" dxfId="2669" priority="2742">
      <formula>OR(W12="Sa",W12="Di",Y12="F")</formula>
    </cfRule>
    <cfRule type="expression" dxfId="2668" priority="2745">
      <formula>W12&lt;&gt;""</formula>
    </cfRule>
  </conditionalFormatting>
  <conditionalFormatting sqref="AA12">
    <cfRule type="cellIs" dxfId="2667" priority="2738" operator="equal">
      <formula>" "</formula>
    </cfRule>
    <cfRule type="expression" dxfId="2666" priority="2739">
      <formula>OR(W12="Sa",W12="Di",Y12="F")</formula>
    </cfRule>
    <cfRule type="expression" dxfId="2665" priority="2740">
      <formula>X12&lt;&gt;""</formula>
    </cfRule>
  </conditionalFormatting>
  <conditionalFormatting sqref="AB14">
    <cfRule type="cellIs" dxfId="2664" priority="2728" operator="equal">
      <formula>" "</formula>
    </cfRule>
    <cfRule type="expression" dxfId="2663" priority="2734">
      <formula>OR(W14="Sa",W14="Di",Y14="F")</formula>
    </cfRule>
    <cfRule type="expression" dxfId="2662" priority="2735">
      <formula>W14&lt;&gt;""</formula>
    </cfRule>
  </conditionalFormatting>
  <conditionalFormatting sqref="Z14">
    <cfRule type="cellIs" dxfId="2661" priority="2732" operator="equal">
      <formula>" "</formula>
    </cfRule>
    <cfRule type="expression" dxfId="2660" priority="2733">
      <formula>OR(W14="Sa",W14="Di",Y14="F")</formula>
    </cfRule>
    <cfRule type="expression" dxfId="2659" priority="2736">
      <formula>W14&lt;&gt;""</formula>
    </cfRule>
  </conditionalFormatting>
  <conditionalFormatting sqref="AA14">
    <cfRule type="cellIs" dxfId="2658" priority="2729" operator="equal">
      <formula>" "</formula>
    </cfRule>
    <cfRule type="expression" dxfId="2657" priority="2730">
      <formula>OR(W14="Sa",W14="Di",Y14="F")</formula>
    </cfRule>
    <cfRule type="expression" dxfId="2656" priority="2731">
      <formula>X14&lt;&gt;""</formula>
    </cfRule>
  </conditionalFormatting>
  <conditionalFormatting sqref="AB16">
    <cfRule type="cellIs" dxfId="2655" priority="2719" operator="equal">
      <formula>" "</formula>
    </cfRule>
    <cfRule type="expression" dxfId="2654" priority="2725">
      <formula>OR(W16="Sa",W16="Di",Y16="F")</formula>
    </cfRule>
    <cfRule type="expression" dxfId="2653" priority="2726">
      <formula>W16&lt;&gt;""</formula>
    </cfRule>
  </conditionalFormatting>
  <conditionalFormatting sqref="Z16">
    <cfRule type="cellIs" dxfId="2652" priority="2723" operator="equal">
      <formula>" "</formula>
    </cfRule>
    <cfRule type="expression" dxfId="2651" priority="2724">
      <formula>OR(W16="Sa",W16="Di",Y16="F")</formula>
    </cfRule>
    <cfRule type="expression" dxfId="2650" priority="2727">
      <formula>W16&lt;&gt;""</formula>
    </cfRule>
  </conditionalFormatting>
  <conditionalFormatting sqref="AA16">
    <cfRule type="cellIs" dxfId="2649" priority="2720" operator="equal">
      <formula>" "</formula>
    </cfRule>
    <cfRule type="expression" dxfId="2648" priority="2721">
      <formula>OR(W16="Sa",W16="Di",Y16="F")</formula>
    </cfRule>
    <cfRule type="expression" dxfId="2647" priority="2722">
      <formula>X16&lt;&gt;""</formula>
    </cfRule>
  </conditionalFormatting>
  <conditionalFormatting sqref="AB18">
    <cfRule type="cellIs" dxfId="2646" priority="2710" operator="equal">
      <formula>" "</formula>
    </cfRule>
    <cfRule type="expression" dxfId="2645" priority="2716">
      <formula>OR(W18="Sa",W18="Di",Y18="F")</formula>
    </cfRule>
    <cfRule type="expression" dxfId="2644" priority="2717">
      <formula>W18&lt;&gt;""</formula>
    </cfRule>
  </conditionalFormatting>
  <conditionalFormatting sqref="Z18">
    <cfRule type="cellIs" dxfId="2643" priority="2714" operator="equal">
      <formula>" "</formula>
    </cfRule>
    <cfRule type="expression" dxfId="2642" priority="2715">
      <formula>OR(W18="Sa",W18="Di",Y18="F")</formula>
    </cfRule>
    <cfRule type="expression" dxfId="2641" priority="2718">
      <formula>W18&lt;&gt;""</formula>
    </cfRule>
  </conditionalFormatting>
  <conditionalFormatting sqref="AA18">
    <cfRule type="cellIs" dxfId="2640" priority="2711" operator="equal">
      <formula>" "</formula>
    </cfRule>
    <cfRule type="expression" dxfId="2639" priority="2712">
      <formula>OR(W18="Sa",W18="Di",Y18="F")</formula>
    </cfRule>
    <cfRule type="expression" dxfId="2638" priority="2713">
      <formula>X18&lt;&gt;""</formula>
    </cfRule>
  </conditionalFormatting>
  <conditionalFormatting sqref="AB20">
    <cfRule type="cellIs" dxfId="2637" priority="2701" operator="equal">
      <formula>" "</formula>
    </cfRule>
    <cfRule type="expression" dxfId="2636" priority="2707">
      <formula>OR(W20="Sa",W20="Di",Y20="F")</formula>
    </cfRule>
    <cfRule type="expression" dxfId="2635" priority="2708">
      <formula>W20&lt;&gt;""</formula>
    </cfRule>
  </conditionalFormatting>
  <conditionalFormatting sqref="Z20">
    <cfRule type="cellIs" dxfId="2634" priority="2705" operator="equal">
      <formula>" "</formula>
    </cfRule>
    <cfRule type="expression" dxfId="2633" priority="2706">
      <formula>OR(W20="Sa",W20="Di",Y20="F")</formula>
    </cfRule>
    <cfRule type="expression" dxfId="2632" priority="2709">
      <formula>W20&lt;&gt;""</formula>
    </cfRule>
  </conditionalFormatting>
  <conditionalFormatting sqref="AA20">
    <cfRule type="cellIs" dxfId="2631" priority="2702" operator="equal">
      <formula>" "</formula>
    </cfRule>
    <cfRule type="expression" dxfId="2630" priority="2703">
      <formula>OR(W20="Sa",W20="Di",Y20="F")</formula>
    </cfRule>
    <cfRule type="expression" dxfId="2629" priority="2704">
      <formula>X20&lt;&gt;""</formula>
    </cfRule>
  </conditionalFormatting>
  <conditionalFormatting sqref="AB22">
    <cfRule type="cellIs" dxfId="2628" priority="2692" operator="equal">
      <formula>" "</formula>
    </cfRule>
    <cfRule type="expression" dxfId="2627" priority="2698">
      <formula>OR(W22="Sa",W22="Di",Y22="F")</formula>
    </cfRule>
    <cfRule type="expression" dxfId="2626" priority="2699">
      <formula>W22&lt;&gt;""</formula>
    </cfRule>
  </conditionalFormatting>
  <conditionalFormatting sqref="Z22">
    <cfRule type="cellIs" dxfId="2625" priority="2696" operator="equal">
      <formula>" "</formula>
    </cfRule>
    <cfRule type="expression" dxfId="2624" priority="2697">
      <formula>OR(W22="Sa",W22="Di",Y22="F")</formula>
    </cfRule>
    <cfRule type="expression" dxfId="2623" priority="2700">
      <formula>W22&lt;&gt;""</formula>
    </cfRule>
  </conditionalFormatting>
  <conditionalFormatting sqref="AA22">
    <cfRule type="cellIs" dxfId="2622" priority="2693" operator="equal">
      <formula>" "</formula>
    </cfRule>
    <cfRule type="expression" dxfId="2621" priority="2694">
      <formula>OR(W22="Sa",W22="Di",Y22="F")</formula>
    </cfRule>
    <cfRule type="expression" dxfId="2620" priority="2695">
      <formula>X22&lt;&gt;""</formula>
    </cfRule>
  </conditionalFormatting>
  <conditionalFormatting sqref="AB24">
    <cfRule type="cellIs" dxfId="2619" priority="2683" operator="equal">
      <formula>" "</formula>
    </cfRule>
    <cfRule type="expression" dxfId="2618" priority="2689">
      <formula>OR(W24="Sa",W24="Di",Y24="F")</formula>
    </cfRule>
    <cfRule type="expression" dxfId="2617" priority="2690">
      <formula>W24&lt;&gt;""</formula>
    </cfRule>
  </conditionalFormatting>
  <conditionalFormatting sqref="Z24">
    <cfRule type="cellIs" dxfId="2616" priority="2687" operator="equal">
      <formula>" "</formula>
    </cfRule>
    <cfRule type="expression" dxfId="2615" priority="2688">
      <formula>OR(W24="Sa",W24="Di",Y24="F")</formula>
    </cfRule>
    <cfRule type="expression" dxfId="2614" priority="2691">
      <formula>W24&lt;&gt;""</formula>
    </cfRule>
  </conditionalFormatting>
  <conditionalFormatting sqref="AA24">
    <cfRule type="cellIs" dxfId="2613" priority="2684" operator="equal">
      <formula>" "</formula>
    </cfRule>
    <cfRule type="expression" dxfId="2612" priority="2685">
      <formula>OR(W24="Sa",W24="Di",Y24="F")</formula>
    </cfRule>
    <cfRule type="expression" dxfId="2611" priority="2686">
      <formula>X24&lt;&gt;""</formula>
    </cfRule>
  </conditionalFormatting>
  <conditionalFormatting sqref="AB26">
    <cfRule type="cellIs" dxfId="2610" priority="2674" operator="equal">
      <formula>" "</formula>
    </cfRule>
    <cfRule type="expression" dxfId="2609" priority="2680">
      <formula>OR(W26="Sa",W26="Di",Y26="F")</formula>
    </cfRule>
    <cfRule type="expression" dxfId="2608" priority="2681">
      <formula>W26&lt;&gt;""</formula>
    </cfRule>
  </conditionalFormatting>
  <conditionalFormatting sqref="Z26">
    <cfRule type="cellIs" dxfId="2607" priority="2678" operator="equal">
      <formula>" "</formula>
    </cfRule>
    <cfRule type="expression" dxfId="2606" priority="2679">
      <formula>OR(W26="Sa",W26="Di",Y26="F")</formula>
    </cfRule>
    <cfRule type="expression" dxfId="2605" priority="2682">
      <formula>W26&lt;&gt;""</formula>
    </cfRule>
  </conditionalFormatting>
  <conditionalFormatting sqref="AA26">
    <cfRule type="cellIs" dxfId="2604" priority="2675" operator="equal">
      <formula>" "</formula>
    </cfRule>
    <cfRule type="expression" dxfId="2603" priority="2676">
      <formula>OR(W26="Sa",W26="Di",Y26="F")</formula>
    </cfRule>
    <cfRule type="expression" dxfId="2602" priority="2677">
      <formula>X26&lt;&gt;""</formula>
    </cfRule>
  </conditionalFormatting>
  <conditionalFormatting sqref="AB28">
    <cfRule type="cellIs" dxfId="2601" priority="2665" operator="equal">
      <formula>" "</formula>
    </cfRule>
    <cfRule type="expression" dxfId="2600" priority="2671">
      <formula>OR(W28="Sa",W28="Di",Y28="F")</formula>
    </cfRule>
    <cfRule type="expression" dxfId="2599" priority="2672">
      <formula>W28&lt;&gt;""</formula>
    </cfRule>
  </conditionalFormatting>
  <conditionalFormatting sqref="Z28">
    <cfRule type="cellIs" dxfId="2598" priority="2669" operator="equal">
      <formula>" "</formula>
    </cfRule>
    <cfRule type="expression" dxfId="2597" priority="2670">
      <formula>OR(W28="Sa",W28="Di",Y28="F")</formula>
    </cfRule>
    <cfRule type="expression" dxfId="2596" priority="2673">
      <formula>W28&lt;&gt;""</formula>
    </cfRule>
  </conditionalFormatting>
  <conditionalFormatting sqref="AA28">
    <cfRule type="cellIs" dxfId="2595" priority="2666" operator="equal">
      <formula>" "</formula>
    </cfRule>
    <cfRule type="expression" dxfId="2594" priority="2667">
      <formula>OR(W28="Sa",W28="Di",Y28="F")</formula>
    </cfRule>
    <cfRule type="expression" dxfId="2593" priority="2668">
      <formula>X28&lt;&gt;""</formula>
    </cfRule>
  </conditionalFormatting>
  <conditionalFormatting sqref="AB30">
    <cfRule type="cellIs" dxfId="2592" priority="2656" operator="equal">
      <formula>" "</formula>
    </cfRule>
    <cfRule type="expression" dxfId="2591" priority="2662">
      <formula>OR(W30="Sa",W30="Di",Y30="F")</formula>
    </cfRule>
    <cfRule type="expression" dxfId="2590" priority="2663">
      <formula>W30&lt;&gt;""</formula>
    </cfRule>
  </conditionalFormatting>
  <conditionalFormatting sqref="Z30">
    <cfRule type="cellIs" dxfId="2589" priority="2660" operator="equal">
      <formula>" "</formula>
    </cfRule>
    <cfRule type="expression" dxfId="2588" priority="2661">
      <formula>OR(W30="Sa",W30="Di",Y30="F")</formula>
    </cfRule>
    <cfRule type="expression" dxfId="2587" priority="2664">
      <formula>W30&lt;&gt;""</formula>
    </cfRule>
  </conditionalFormatting>
  <conditionalFormatting sqref="AA30">
    <cfRule type="cellIs" dxfId="2586" priority="2657" operator="equal">
      <formula>" "</formula>
    </cfRule>
    <cfRule type="expression" dxfId="2585" priority="2658">
      <formula>OR(W30="Sa",W30="Di",Y30="F")</formula>
    </cfRule>
    <cfRule type="expression" dxfId="2584" priority="2659">
      <formula>X30&lt;&gt;""</formula>
    </cfRule>
  </conditionalFormatting>
  <conditionalFormatting sqref="AB32">
    <cfRule type="cellIs" dxfId="2583" priority="2647" operator="equal">
      <formula>" "</formula>
    </cfRule>
    <cfRule type="expression" dxfId="2582" priority="2653">
      <formula>OR(W32="Sa",W32="Di",Y32="F")</formula>
    </cfRule>
    <cfRule type="expression" dxfId="2581" priority="2654">
      <formula>W32&lt;&gt;""</formula>
    </cfRule>
  </conditionalFormatting>
  <conditionalFormatting sqref="Z32">
    <cfRule type="cellIs" dxfId="2580" priority="2651" operator="equal">
      <formula>" "</formula>
    </cfRule>
    <cfRule type="expression" dxfId="2579" priority="2652">
      <formula>OR(W32="Sa",W32="Di",Y32="F")</formula>
    </cfRule>
    <cfRule type="expression" dxfId="2578" priority="2655">
      <formula>W32&lt;&gt;""</formula>
    </cfRule>
  </conditionalFormatting>
  <conditionalFormatting sqref="AA32">
    <cfRule type="cellIs" dxfId="2577" priority="2648" operator="equal">
      <formula>" "</formula>
    </cfRule>
    <cfRule type="expression" dxfId="2576" priority="2649">
      <formula>OR(W32="Sa",W32="Di",Y32="F")</formula>
    </cfRule>
    <cfRule type="expression" dxfId="2575" priority="2650">
      <formula>X32&lt;&gt;""</formula>
    </cfRule>
  </conditionalFormatting>
  <conditionalFormatting sqref="AB34">
    <cfRule type="cellIs" dxfId="2574" priority="2638" operator="equal">
      <formula>" "</formula>
    </cfRule>
    <cfRule type="expression" dxfId="2573" priority="2644">
      <formula>OR(W34="Sa",W34="Di",Y34="F")</formula>
    </cfRule>
    <cfRule type="expression" dxfId="2572" priority="2645">
      <formula>W34&lt;&gt;""</formula>
    </cfRule>
  </conditionalFormatting>
  <conditionalFormatting sqref="Z34">
    <cfRule type="cellIs" dxfId="2571" priority="2642" operator="equal">
      <formula>" "</formula>
    </cfRule>
    <cfRule type="expression" dxfId="2570" priority="2643">
      <formula>OR(W34="Sa",W34="Di",Y34="F")</formula>
    </cfRule>
    <cfRule type="expression" dxfId="2569" priority="2646">
      <formula>W34&lt;&gt;""</formula>
    </cfRule>
  </conditionalFormatting>
  <conditionalFormatting sqref="AA34">
    <cfRule type="cellIs" dxfId="2568" priority="2639" operator="equal">
      <formula>" "</formula>
    </cfRule>
    <cfRule type="expression" dxfId="2567" priority="2640">
      <formula>OR(W34="Sa",W34="Di",Y34="F")</formula>
    </cfRule>
    <cfRule type="expression" dxfId="2566" priority="2641">
      <formula>X34&lt;&gt;""</formula>
    </cfRule>
  </conditionalFormatting>
  <conditionalFormatting sqref="AB36">
    <cfRule type="cellIs" dxfId="2565" priority="2629" operator="equal">
      <formula>" "</formula>
    </cfRule>
    <cfRule type="expression" dxfId="2564" priority="2635">
      <formula>OR(W36="Sa",W36="Di",Y36="F")</formula>
    </cfRule>
    <cfRule type="expression" dxfId="2563" priority="2636">
      <formula>W36&lt;&gt;""</formula>
    </cfRule>
  </conditionalFormatting>
  <conditionalFormatting sqref="Z36">
    <cfRule type="cellIs" dxfId="2562" priority="2633" operator="equal">
      <formula>" "</formula>
    </cfRule>
    <cfRule type="expression" dxfId="2561" priority="2634">
      <formula>OR(W36="Sa",W36="Di",Y36="F")</formula>
    </cfRule>
    <cfRule type="expression" dxfId="2560" priority="2637">
      <formula>W36&lt;&gt;""</formula>
    </cfRule>
  </conditionalFormatting>
  <conditionalFormatting sqref="AA36">
    <cfRule type="cellIs" dxfId="2559" priority="2630" operator="equal">
      <formula>" "</formula>
    </cfRule>
    <cfRule type="expression" dxfId="2558" priority="2631">
      <formula>OR(W36="Sa",W36="Di",Y36="F")</formula>
    </cfRule>
    <cfRule type="expression" dxfId="2557" priority="2632">
      <formula>X36&lt;&gt;""</formula>
    </cfRule>
  </conditionalFormatting>
  <conditionalFormatting sqref="AB38">
    <cfRule type="cellIs" dxfId="2556" priority="2620" operator="equal">
      <formula>" "</formula>
    </cfRule>
    <cfRule type="expression" dxfId="2555" priority="2626">
      <formula>OR(W38="Sa",W38="Di",Y38="F")</formula>
    </cfRule>
    <cfRule type="expression" dxfId="2554" priority="2627">
      <formula>W38&lt;&gt;""</formula>
    </cfRule>
  </conditionalFormatting>
  <conditionalFormatting sqref="Z38">
    <cfRule type="cellIs" dxfId="2553" priority="2624" operator="equal">
      <formula>" "</formula>
    </cfRule>
    <cfRule type="expression" dxfId="2552" priority="2625">
      <formula>OR(W38="Sa",W38="Di",Y38="F")</formula>
    </cfRule>
    <cfRule type="expression" dxfId="2551" priority="2628">
      <formula>W38&lt;&gt;""</formula>
    </cfRule>
  </conditionalFormatting>
  <conditionalFormatting sqref="AA38">
    <cfRule type="cellIs" dxfId="2550" priority="2621" operator="equal">
      <formula>" "</formula>
    </cfRule>
    <cfRule type="expression" dxfId="2549" priority="2622">
      <formula>OR(W38="Sa",W38="Di",Y38="F")</formula>
    </cfRule>
    <cfRule type="expression" dxfId="2548" priority="2623">
      <formula>X38&lt;&gt;""</formula>
    </cfRule>
  </conditionalFormatting>
  <conditionalFormatting sqref="AB40">
    <cfRule type="cellIs" dxfId="2547" priority="2611" operator="equal">
      <formula>" "</formula>
    </cfRule>
    <cfRule type="expression" dxfId="2546" priority="2617">
      <formula>OR(W40="Sa",W40="Di",Y40="F")</formula>
    </cfRule>
    <cfRule type="expression" dxfId="2545" priority="2618">
      <formula>W40&lt;&gt;""</formula>
    </cfRule>
  </conditionalFormatting>
  <conditionalFormatting sqref="Z40">
    <cfRule type="cellIs" dxfId="2544" priority="2615" operator="equal">
      <formula>" "</formula>
    </cfRule>
    <cfRule type="expression" dxfId="2543" priority="2616">
      <formula>OR(W40="Sa",W40="Di",Y40="F")</formula>
    </cfRule>
    <cfRule type="expression" dxfId="2542" priority="2619">
      <formula>W40&lt;&gt;""</formula>
    </cfRule>
  </conditionalFormatting>
  <conditionalFormatting sqref="AA40">
    <cfRule type="cellIs" dxfId="2541" priority="2612" operator="equal">
      <formula>" "</formula>
    </cfRule>
    <cfRule type="expression" dxfId="2540" priority="2613">
      <formula>OR(W40="Sa",W40="Di",Y40="F")</formula>
    </cfRule>
    <cfRule type="expression" dxfId="2539" priority="2614">
      <formula>X40&lt;&gt;""</formula>
    </cfRule>
  </conditionalFormatting>
  <conditionalFormatting sqref="AB42">
    <cfRule type="cellIs" dxfId="2538" priority="2602" operator="equal">
      <formula>" "</formula>
    </cfRule>
    <cfRule type="expression" dxfId="2537" priority="2608">
      <formula>OR(W42="Sa",W42="Di",Y42="F")</formula>
    </cfRule>
    <cfRule type="expression" dxfId="2536" priority="2609">
      <formula>W42&lt;&gt;""</formula>
    </cfRule>
  </conditionalFormatting>
  <conditionalFormatting sqref="Z42">
    <cfRule type="cellIs" dxfId="2535" priority="2606" operator="equal">
      <formula>" "</formula>
    </cfRule>
    <cfRule type="expression" dxfId="2534" priority="2607">
      <formula>OR(W42="Sa",W42="Di",Y42="F")</formula>
    </cfRule>
    <cfRule type="expression" dxfId="2533" priority="2610">
      <formula>W42&lt;&gt;""</formula>
    </cfRule>
  </conditionalFormatting>
  <conditionalFormatting sqref="AA42">
    <cfRule type="cellIs" dxfId="2532" priority="2603" operator="equal">
      <formula>" "</formula>
    </cfRule>
    <cfRule type="expression" dxfId="2531" priority="2604">
      <formula>OR(W42="Sa",W42="Di",Y42="F")</formula>
    </cfRule>
    <cfRule type="expression" dxfId="2530" priority="2605">
      <formula>X42&lt;&gt;""</formula>
    </cfRule>
  </conditionalFormatting>
  <conditionalFormatting sqref="AB44">
    <cfRule type="cellIs" dxfId="2529" priority="2593" operator="equal">
      <formula>" "</formula>
    </cfRule>
    <cfRule type="expression" dxfId="2528" priority="2599">
      <formula>OR(W44="Sa",W44="Di",Y44="F")</formula>
    </cfRule>
    <cfRule type="expression" dxfId="2527" priority="2600">
      <formula>W44&lt;&gt;""</formula>
    </cfRule>
  </conditionalFormatting>
  <conditionalFormatting sqref="Z44">
    <cfRule type="cellIs" dxfId="2526" priority="2597" operator="equal">
      <formula>" "</formula>
    </cfRule>
    <cfRule type="expression" dxfId="2525" priority="2598">
      <formula>OR(W44="Sa",W44="Di",Y44="F")</formula>
    </cfRule>
    <cfRule type="expression" dxfId="2524" priority="2601">
      <formula>W44&lt;&gt;""</formula>
    </cfRule>
  </conditionalFormatting>
  <conditionalFormatting sqref="AA44">
    <cfRule type="cellIs" dxfId="2523" priority="2594" operator="equal">
      <formula>" "</formula>
    </cfRule>
    <cfRule type="expression" dxfId="2522" priority="2595">
      <formula>OR(W44="Sa",W44="Di",Y44="F")</formula>
    </cfRule>
    <cfRule type="expression" dxfId="2521" priority="2596">
      <formula>X44&lt;&gt;""</formula>
    </cfRule>
  </conditionalFormatting>
  <conditionalFormatting sqref="AB46">
    <cfRule type="cellIs" dxfId="2520" priority="2584" operator="equal">
      <formula>" "</formula>
    </cfRule>
    <cfRule type="expression" dxfId="2519" priority="2590">
      <formula>OR(W46="Sa",W46="Di",Y46="F")</formula>
    </cfRule>
    <cfRule type="expression" dxfId="2518" priority="2591">
      <formula>W46&lt;&gt;""</formula>
    </cfRule>
  </conditionalFormatting>
  <conditionalFormatting sqref="Z46">
    <cfRule type="cellIs" dxfId="2517" priority="2588" operator="equal">
      <formula>" "</formula>
    </cfRule>
    <cfRule type="expression" dxfId="2516" priority="2589">
      <formula>OR(W46="Sa",W46="Di",Y46="F")</formula>
    </cfRule>
    <cfRule type="expression" dxfId="2515" priority="2592">
      <formula>W46&lt;&gt;""</formula>
    </cfRule>
  </conditionalFormatting>
  <conditionalFormatting sqref="AA46">
    <cfRule type="cellIs" dxfId="2514" priority="2585" operator="equal">
      <formula>" "</formula>
    </cfRule>
    <cfRule type="expression" dxfId="2513" priority="2586">
      <formula>OR(W46="Sa",W46="Di",Y46="F")</formula>
    </cfRule>
    <cfRule type="expression" dxfId="2512" priority="2587">
      <formula>X46&lt;&gt;""</formula>
    </cfRule>
  </conditionalFormatting>
  <conditionalFormatting sqref="AB48">
    <cfRule type="cellIs" dxfId="2511" priority="2575" operator="equal">
      <formula>" "</formula>
    </cfRule>
    <cfRule type="expression" dxfId="2510" priority="2581">
      <formula>OR(W48="Sa",W48="Di",Y48="F")</formula>
    </cfRule>
    <cfRule type="expression" dxfId="2509" priority="2582">
      <formula>W48&lt;&gt;""</formula>
    </cfRule>
  </conditionalFormatting>
  <conditionalFormatting sqref="Z48">
    <cfRule type="cellIs" dxfId="2508" priority="2579" operator="equal">
      <formula>" "</formula>
    </cfRule>
    <cfRule type="expression" dxfId="2507" priority="2580">
      <formula>OR(W48="Sa",W48="Di",Y48="F")</formula>
    </cfRule>
    <cfRule type="expression" dxfId="2506" priority="2583">
      <formula>W48&lt;&gt;""</formula>
    </cfRule>
  </conditionalFormatting>
  <conditionalFormatting sqref="AA48">
    <cfRule type="cellIs" dxfId="2505" priority="2576" operator="equal">
      <formula>" "</formula>
    </cfRule>
    <cfRule type="expression" dxfId="2504" priority="2577">
      <formula>OR(W48="Sa",W48="Di",Y48="F")</formula>
    </cfRule>
    <cfRule type="expression" dxfId="2503" priority="2578">
      <formula>X48&lt;&gt;""</formula>
    </cfRule>
  </conditionalFormatting>
  <conditionalFormatting sqref="AB50">
    <cfRule type="cellIs" dxfId="2502" priority="2566" operator="equal">
      <formula>" "</formula>
    </cfRule>
    <cfRule type="expression" dxfId="2501" priority="2572">
      <formula>OR(W50="Sa",W50="Di",Y50="F")</formula>
    </cfRule>
    <cfRule type="expression" dxfId="2500" priority="2573">
      <formula>W50&lt;&gt;""</formula>
    </cfRule>
  </conditionalFormatting>
  <conditionalFormatting sqref="Z50">
    <cfRule type="cellIs" dxfId="2499" priority="2570" operator="equal">
      <formula>" "</formula>
    </cfRule>
    <cfRule type="expression" dxfId="2498" priority="2571">
      <formula>OR(W50="Sa",W50="Di",Y50="F")</formula>
    </cfRule>
    <cfRule type="expression" dxfId="2497" priority="2574">
      <formula>W50&lt;&gt;""</formula>
    </cfRule>
  </conditionalFormatting>
  <conditionalFormatting sqref="AA50">
    <cfRule type="cellIs" dxfId="2496" priority="2567" operator="equal">
      <formula>" "</formula>
    </cfRule>
    <cfRule type="expression" dxfId="2495" priority="2568">
      <formula>OR(W50="Sa",W50="Di",Y50="F")</formula>
    </cfRule>
    <cfRule type="expression" dxfId="2494" priority="2569">
      <formula>X50&lt;&gt;""</formula>
    </cfRule>
  </conditionalFormatting>
  <conditionalFormatting sqref="AB52">
    <cfRule type="cellIs" dxfId="2493" priority="2557" operator="equal">
      <formula>" "</formula>
    </cfRule>
    <cfRule type="expression" dxfId="2492" priority="2563">
      <formula>OR(W52="Sa",W52="Di",Y52="F")</formula>
    </cfRule>
    <cfRule type="expression" dxfId="2491" priority="2564">
      <formula>W52&lt;&gt;""</formula>
    </cfRule>
  </conditionalFormatting>
  <conditionalFormatting sqref="Z52">
    <cfRule type="cellIs" dxfId="2490" priority="2561" operator="equal">
      <formula>" "</formula>
    </cfRule>
    <cfRule type="expression" dxfId="2489" priority="2562">
      <formula>OR(W52="Sa",W52="Di",Y52="F")</formula>
    </cfRule>
    <cfRule type="expression" dxfId="2488" priority="2565">
      <formula>W52&lt;&gt;""</formula>
    </cfRule>
  </conditionalFormatting>
  <conditionalFormatting sqref="AA52">
    <cfRule type="cellIs" dxfId="2487" priority="2558" operator="equal">
      <formula>" "</formula>
    </cfRule>
    <cfRule type="expression" dxfId="2486" priority="2559">
      <formula>OR(W52="Sa",W52="Di",Y52="F")</formula>
    </cfRule>
    <cfRule type="expression" dxfId="2485" priority="2560">
      <formula>X52&lt;&gt;""</formula>
    </cfRule>
  </conditionalFormatting>
  <conditionalFormatting sqref="AB58">
    <cfRule type="cellIs" dxfId="2484" priority="2530" operator="equal">
      <formula>" "</formula>
    </cfRule>
    <cfRule type="expression" dxfId="2483" priority="2536">
      <formula>OR(W58="Sa",W58="Di",Y58="F")</formula>
    </cfRule>
    <cfRule type="expression" dxfId="2482" priority="2537">
      <formula>W58&lt;&gt;""</formula>
    </cfRule>
  </conditionalFormatting>
  <conditionalFormatting sqref="Z58">
    <cfRule type="cellIs" dxfId="2481" priority="2534" operator="equal">
      <formula>" "</formula>
    </cfRule>
    <cfRule type="expression" dxfId="2480" priority="2535">
      <formula>OR(W58="Sa",W58="Di",Y58="F")</formula>
    </cfRule>
    <cfRule type="expression" dxfId="2479" priority="2538">
      <formula>W58&lt;&gt;""</formula>
    </cfRule>
  </conditionalFormatting>
  <conditionalFormatting sqref="AA58">
    <cfRule type="cellIs" dxfId="2478" priority="2531" operator="equal">
      <formula>" "</formula>
    </cfRule>
    <cfRule type="expression" dxfId="2477" priority="2532">
      <formula>OR(W58="Sa",W58="Di",Y58="F")</formula>
    </cfRule>
    <cfRule type="expression" dxfId="2476" priority="2533">
      <formula>X58&lt;&gt;""</formula>
    </cfRule>
  </conditionalFormatting>
  <conditionalFormatting sqref="AB60">
    <cfRule type="cellIs" dxfId="2475" priority="2521" operator="equal">
      <formula>" "</formula>
    </cfRule>
    <cfRule type="expression" dxfId="2474" priority="2527">
      <formula>OR(W60="Sa",W60="Di",Y60="F")</formula>
    </cfRule>
    <cfRule type="expression" dxfId="2473" priority="2528">
      <formula>W60&lt;&gt;""</formula>
    </cfRule>
  </conditionalFormatting>
  <conditionalFormatting sqref="Z60">
    <cfRule type="cellIs" dxfId="2472" priority="2525" operator="equal">
      <formula>" "</formula>
    </cfRule>
    <cfRule type="expression" dxfId="2471" priority="2526">
      <formula>OR(W60="Sa",W60="Di",Y60="F")</formula>
    </cfRule>
    <cfRule type="expression" dxfId="2470" priority="2529">
      <formula>W60&lt;&gt;""</formula>
    </cfRule>
  </conditionalFormatting>
  <conditionalFormatting sqref="AA60">
    <cfRule type="cellIs" dxfId="2469" priority="2522" operator="equal">
      <formula>" "</formula>
    </cfRule>
    <cfRule type="expression" dxfId="2468" priority="2523">
      <formula>OR(W60="Sa",W60="Di",Y60="F")</formula>
    </cfRule>
    <cfRule type="expression" dxfId="2467" priority="2524">
      <formula>X60&lt;&gt;""</formula>
    </cfRule>
  </conditionalFormatting>
  <conditionalFormatting sqref="AB62">
    <cfRule type="cellIs" dxfId="2466" priority="2512" operator="equal">
      <formula>" "</formula>
    </cfRule>
    <cfRule type="expression" dxfId="2465" priority="2518">
      <formula>OR(W62="Sa",W62="Di",Y62="F")</formula>
    </cfRule>
    <cfRule type="expression" dxfId="2464" priority="2519">
      <formula>W62&lt;&gt;""</formula>
    </cfRule>
  </conditionalFormatting>
  <conditionalFormatting sqref="Z62">
    <cfRule type="cellIs" dxfId="2463" priority="2516" operator="equal">
      <formula>" "</formula>
    </cfRule>
    <cfRule type="expression" dxfId="2462" priority="2517">
      <formula>OR(W62="Sa",W62="Di",Y62="F")</formula>
    </cfRule>
    <cfRule type="expression" dxfId="2461" priority="2520">
      <formula>W62&lt;&gt;""</formula>
    </cfRule>
  </conditionalFormatting>
  <conditionalFormatting sqref="AA62">
    <cfRule type="cellIs" dxfId="2460" priority="2513" operator="equal">
      <formula>" "</formula>
    </cfRule>
    <cfRule type="expression" dxfId="2459" priority="2514">
      <formula>OR(W62="Sa",W62="Di",Y62="F")</formula>
    </cfRule>
    <cfRule type="expression" dxfId="2458" priority="2515">
      <formula>X62&lt;&gt;""</formula>
    </cfRule>
  </conditionalFormatting>
  <conditionalFormatting sqref="AB64">
    <cfRule type="cellIs" dxfId="2457" priority="2503" operator="equal">
      <formula>" "</formula>
    </cfRule>
    <cfRule type="expression" dxfId="2456" priority="2509">
      <formula>OR(W64="Sa",W64="Di",Y64="F")</formula>
    </cfRule>
    <cfRule type="expression" dxfId="2455" priority="2510">
      <formula>W64&lt;&gt;""</formula>
    </cfRule>
  </conditionalFormatting>
  <conditionalFormatting sqref="Z64">
    <cfRule type="cellIs" dxfId="2454" priority="2507" operator="equal">
      <formula>" "</formula>
    </cfRule>
    <cfRule type="expression" dxfId="2453" priority="2508">
      <formula>OR(W64="Sa",W64="Di",Y64="F")</formula>
    </cfRule>
    <cfRule type="expression" dxfId="2452" priority="2511">
      <formula>W64&lt;&gt;""</formula>
    </cfRule>
  </conditionalFormatting>
  <conditionalFormatting sqref="AA64">
    <cfRule type="cellIs" dxfId="2451" priority="2504" operator="equal">
      <formula>" "</formula>
    </cfRule>
    <cfRule type="expression" dxfId="2450" priority="2505">
      <formula>OR(W64="Sa",W64="Di",Y64="F")</formula>
    </cfRule>
    <cfRule type="expression" dxfId="2449" priority="2506">
      <formula>X64&lt;&gt;""</formula>
    </cfRule>
  </conditionalFormatting>
  <conditionalFormatting sqref="AB66">
    <cfRule type="cellIs" dxfId="2448" priority="2494" operator="equal">
      <formula>" "</formula>
    </cfRule>
    <cfRule type="expression" dxfId="2447" priority="2500">
      <formula>OR(W66="Sa",W66="Di",Y66="F")</formula>
    </cfRule>
    <cfRule type="expression" dxfId="2446" priority="2501">
      <formula>W66&lt;&gt;""</formula>
    </cfRule>
  </conditionalFormatting>
  <conditionalFormatting sqref="Z66">
    <cfRule type="cellIs" dxfId="2445" priority="2498" operator="equal">
      <formula>" "</formula>
    </cfRule>
    <cfRule type="expression" dxfId="2444" priority="2499">
      <formula>OR(W66="Sa",W66="Di",Y66="F")</formula>
    </cfRule>
    <cfRule type="expression" dxfId="2443" priority="2502">
      <formula>W66&lt;&gt;""</formula>
    </cfRule>
  </conditionalFormatting>
  <conditionalFormatting sqref="AA66">
    <cfRule type="cellIs" dxfId="2442" priority="2495" operator="equal">
      <formula>" "</formula>
    </cfRule>
    <cfRule type="expression" dxfId="2441" priority="2496">
      <formula>OR(W66="Sa",W66="Di",Y66="F")</formula>
    </cfRule>
    <cfRule type="expression" dxfId="2440" priority="2497">
      <formula>X66&lt;&gt;""</formula>
    </cfRule>
  </conditionalFormatting>
  <conditionalFormatting sqref="AI6">
    <cfRule type="cellIs" dxfId="2439" priority="2485" operator="equal">
      <formula>" "</formula>
    </cfRule>
    <cfRule type="expression" dxfId="2438" priority="2491">
      <formula>OR(AD6="Sa",AD6="Di",AF6="F")</formula>
    </cfRule>
    <cfRule type="expression" dxfId="2437" priority="2492">
      <formula>AD6&lt;&gt;""</formula>
    </cfRule>
  </conditionalFormatting>
  <conditionalFormatting sqref="AG6">
    <cfRule type="cellIs" dxfId="2436" priority="2489" operator="equal">
      <formula>" "</formula>
    </cfRule>
    <cfRule type="expression" dxfId="2435" priority="2490">
      <formula>OR(AD6="Sa",AD6="Di",AF6="F")</formula>
    </cfRule>
    <cfRule type="expression" dxfId="2434" priority="2493">
      <formula>AD6&lt;&gt;""</formula>
    </cfRule>
  </conditionalFormatting>
  <conditionalFormatting sqref="AH6">
    <cfRule type="cellIs" dxfId="2433" priority="2486" operator="equal">
      <formula>" "</formula>
    </cfRule>
    <cfRule type="expression" dxfId="2432" priority="2487">
      <formula>OR(AD6="Sa",AD6="Di",AF6="F")</formula>
    </cfRule>
    <cfRule type="expression" dxfId="2431" priority="2488">
      <formula>AE6&lt;&gt;""</formula>
    </cfRule>
  </conditionalFormatting>
  <conditionalFormatting sqref="AI8">
    <cfRule type="cellIs" dxfId="2430" priority="2476" operator="equal">
      <formula>" "</formula>
    </cfRule>
    <cfRule type="expression" dxfId="2429" priority="2482">
      <formula>OR(AD8="Sa",AD8="Di",AF8="F")</formula>
    </cfRule>
    <cfRule type="expression" dxfId="2428" priority="2483">
      <formula>AD8&lt;&gt;""</formula>
    </cfRule>
  </conditionalFormatting>
  <conditionalFormatting sqref="AG8">
    <cfRule type="cellIs" dxfId="2427" priority="2480" operator="equal">
      <formula>" "</formula>
    </cfRule>
    <cfRule type="expression" dxfId="2426" priority="2481">
      <formula>OR(AD8="Sa",AD8="Di",AF8="F")</formula>
    </cfRule>
    <cfRule type="expression" dxfId="2425" priority="2484">
      <formula>AD8&lt;&gt;""</formula>
    </cfRule>
  </conditionalFormatting>
  <conditionalFormatting sqref="AH8">
    <cfRule type="cellIs" dxfId="2424" priority="2477" operator="equal">
      <formula>" "</formula>
    </cfRule>
    <cfRule type="expression" dxfId="2423" priority="2478">
      <formula>OR(AD8="Sa",AD8="Di",AF8="F")</formula>
    </cfRule>
    <cfRule type="expression" dxfId="2422" priority="2479">
      <formula>AE8&lt;&gt;""</formula>
    </cfRule>
  </conditionalFormatting>
  <conditionalFormatting sqref="AI10">
    <cfRule type="cellIs" dxfId="2421" priority="2467" operator="equal">
      <formula>" "</formula>
    </cfRule>
    <cfRule type="expression" dxfId="2420" priority="2473">
      <formula>OR(AD10="Sa",AD10="Di",AF10="F")</formula>
    </cfRule>
    <cfRule type="expression" dxfId="2419" priority="2474">
      <formula>AD10&lt;&gt;""</formula>
    </cfRule>
  </conditionalFormatting>
  <conditionalFormatting sqref="AG10">
    <cfRule type="cellIs" dxfId="2418" priority="2471" operator="equal">
      <formula>" "</formula>
    </cfRule>
    <cfRule type="expression" dxfId="2417" priority="2472">
      <formula>OR(AD10="Sa",AD10="Di",AF10="F")</formula>
    </cfRule>
    <cfRule type="expression" dxfId="2416" priority="2475">
      <formula>AD10&lt;&gt;""</formula>
    </cfRule>
  </conditionalFormatting>
  <conditionalFormatting sqref="AH10">
    <cfRule type="cellIs" dxfId="2415" priority="2468" operator="equal">
      <formula>" "</formula>
    </cfRule>
    <cfRule type="expression" dxfId="2414" priority="2469">
      <formula>OR(AD10="Sa",AD10="Di",AF10="F")</formula>
    </cfRule>
    <cfRule type="expression" dxfId="2413" priority="2470">
      <formula>AE10&lt;&gt;""</formula>
    </cfRule>
  </conditionalFormatting>
  <conditionalFormatting sqref="AI12">
    <cfRule type="cellIs" dxfId="2412" priority="2458" operator="equal">
      <formula>" "</formula>
    </cfRule>
    <cfRule type="expression" dxfId="2411" priority="2464">
      <formula>OR(AD12="Sa",AD12="Di",AF12="F")</formula>
    </cfRule>
    <cfRule type="expression" dxfId="2410" priority="2465">
      <formula>AD12&lt;&gt;""</formula>
    </cfRule>
  </conditionalFormatting>
  <conditionalFormatting sqref="AG12">
    <cfRule type="cellIs" dxfId="2409" priority="2462" operator="equal">
      <formula>" "</formula>
    </cfRule>
    <cfRule type="expression" dxfId="2408" priority="2463">
      <formula>OR(AD12="Sa",AD12="Di",AF12="F")</formula>
    </cfRule>
    <cfRule type="expression" dxfId="2407" priority="2466">
      <formula>AD12&lt;&gt;""</formula>
    </cfRule>
  </conditionalFormatting>
  <conditionalFormatting sqref="AH12">
    <cfRule type="cellIs" dxfId="2406" priority="2459" operator="equal">
      <formula>" "</formula>
    </cfRule>
    <cfRule type="expression" dxfId="2405" priority="2460">
      <formula>OR(AD12="Sa",AD12="Di",AF12="F")</formula>
    </cfRule>
    <cfRule type="expression" dxfId="2404" priority="2461">
      <formula>AE12&lt;&gt;""</formula>
    </cfRule>
  </conditionalFormatting>
  <conditionalFormatting sqref="AI14">
    <cfRule type="cellIs" dxfId="2403" priority="2449" operator="equal">
      <formula>" "</formula>
    </cfRule>
    <cfRule type="expression" dxfId="2402" priority="2455">
      <formula>OR(AD14="Sa",AD14="Di",AF14="F")</formula>
    </cfRule>
    <cfRule type="expression" dxfId="2401" priority="2456">
      <formula>AD14&lt;&gt;""</formula>
    </cfRule>
  </conditionalFormatting>
  <conditionalFormatting sqref="AG14">
    <cfRule type="cellIs" dxfId="2400" priority="2453" operator="equal">
      <formula>" "</formula>
    </cfRule>
    <cfRule type="expression" dxfId="2399" priority="2454">
      <formula>OR(AD14="Sa",AD14="Di",AF14="F")</formula>
    </cfRule>
    <cfRule type="expression" dxfId="2398" priority="2457">
      <formula>AD14&lt;&gt;""</formula>
    </cfRule>
  </conditionalFormatting>
  <conditionalFormatting sqref="AH14">
    <cfRule type="cellIs" dxfId="2397" priority="2450" operator="equal">
      <formula>" "</formula>
    </cfRule>
    <cfRule type="expression" dxfId="2396" priority="2451">
      <formula>OR(AD14="Sa",AD14="Di",AF14="F")</formula>
    </cfRule>
    <cfRule type="expression" dxfId="2395" priority="2452">
      <formula>AE14&lt;&gt;""</formula>
    </cfRule>
  </conditionalFormatting>
  <conditionalFormatting sqref="AI16">
    <cfRule type="cellIs" dxfId="2394" priority="2440" operator="equal">
      <formula>" "</formula>
    </cfRule>
    <cfRule type="expression" dxfId="2393" priority="2446">
      <formula>OR(AD16="Sa",AD16="Di",AF16="F")</formula>
    </cfRule>
    <cfRule type="expression" dxfId="2392" priority="2447">
      <formula>AD16&lt;&gt;""</formula>
    </cfRule>
  </conditionalFormatting>
  <conditionalFormatting sqref="AG16">
    <cfRule type="cellIs" dxfId="2391" priority="2444" operator="equal">
      <formula>" "</formula>
    </cfRule>
    <cfRule type="expression" dxfId="2390" priority="2445">
      <formula>OR(AD16="Sa",AD16="Di",AF16="F")</formula>
    </cfRule>
    <cfRule type="expression" dxfId="2389" priority="2448">
      <formula>AD16&lt;&gt;""</formula>
    </cfRule>
  </conditionalFormatting>
  <conditionalFormatting sqref="AH16">
    <cfRule type="cellIs" dxfId="2388" priority="2441" operator="equal">
      <formula>" "</formula>
    </cfRule>
    <cfRule type="expression" dxfId="2387" priority="2442">
      <formula>OR(AD16="Sa",AD16="Di",AF16="F")</formula>
    </cfRule>
    <cfRule type="expression" dxfId="2386" priority="2443">
      <formula>AE16&lt;&gt;""</formula>
    </cfRule>
  </conditionalFormatting>
  <conditionalFormatting sqref="AI18">
    <cfRule type="cellIs" dxfId="2385" priority="2431" operator="equal">
      <formula>" "</formula>
    </cfRule>
    <cfRule type="expression" dxfId="2384" priority="2437">
      <formula>OR(AD18="Sa",AD18="Di",AF18="F")</formula>
    </cfRule>
    <cfRule type="expression" dxfId="2383" priority="2438">
      <formula>AD18&lt;&gt;""</formula>
    </cfRule>
  </conditionalFormatting>
  <conditionalFormatting sqref="AG18">
    <cfRule type="cellIs" dxfId="2382" priority="2435" operator="equal">
      <formula>" "</formula>
    </cfRule>
    <cfRule type="expression" dxfId="2381" priority="2436">
      <formula>OR(AD18="Sa",AD18="Di",AF18="F")</formula>
    </cfRule>
    <cfRule type="expression" dxfId="2380" priority="2439">
      <formula>AD18&lt;&gt;""</formula>
    </cfRule>
  </conditionalFormatting>
  <conditionalFormatting sqref="AH18">
    <cfRule type="cellIs" dxfId="2379" priority="2432" operator="equal">
      <formula>" "</formula>
    </cfRule>
    <cfRule type="expression" dxfId="2378" priority="2433">
      <formula>OR(AD18="Sa",AD18="Di",AF18="F")</formula>
    </cfRule>
    <cfRule type="expression" dxfId="2377" priority="2434">
      <formula>AE18&lt;&gt;""</formula>
    </cfRule>
  </conditionalFormatting>
  <conditionalFormatting sqref="AI20">
    <cfRule type="cellIs" dxfId="2376" priority="2422" operator="equal">
      <formula>" "</formula>
    </cfRule>
    <cfRule type="expression" dxfId="2375" priority="2428">
      <formula>OR(AD20="Sa",AD20="Di",AF20="F")</formula>
    </cfRule>
    <cfRule type="expression" dxfId="2374" priority="2429">
      <formula>AD20&lt;&gt;""</formula>
    </cfRule>
  </conditionalFormatting>
  <conditionalFormatting sqref="AG20">
    <cfRule type="cellIs" dxfId="2373" priority="2426" operator="equal">
      <formula>" "</formula>
    </cfRule>
    <cfRule type="expression" dxfId="2372" priority="2427">
      <formula>OR(AD20="Sa",AD20="Di",AF20="F")</formula>
    </cfRule>
    <cfRule type="expression" dxfId="2371" priority="2430">
      <formula>AD20&lt;&gt;""</formula>
    </cfRule>
  </conditionalFormatting>
  <conditionalFormatting sqref="AH20">
    <cfRule type="cellIs" dxfId="2370" priority="2423" operator="equal">
      <formula>" "</formula>
    </cfRule>
    <cfRule type="expression" dxfId="2369" priority="2424">
      <formula>OR(AD20="Sa",AD20="Di",AF20="F")</formula>
    </cfRule>
    <cfRule type="expression" dxfId="2368" priority="2425">
      <formula>AE20&lt;&gt;""</formula>
    </cfRule>
  </conditionalFormatting>
  <conditionalFormatting sqref="AI22">
    <cfRule type="cellIs" dxfId="2367" priority="2413" operator="equal">
      <formula>" "</formula>
    </cfRule>
    <cfRule type="expression" dxfId="2366" priority="2419">
      <formula>OR(AD22="Sa",AD22="Di",AF22="F")</formula>
    </cfRule>
    <cfRule type="expression" dxfId="2365" priority="2420">
      <formula>AD22&lt;&gt;""</formula>
    </cfRule>
  </conditionalFormatting>
  <conditionalFormatting sqref="AG22">
    <cfRule type="cellIs" dxfId="2364" priority="2417" operator="equal">
      <formula>" "</formula>
    </cfRule>
    <cfRule type="expression" dxfId="2363" priority="2418">
      <formula>OR(AD22="Sa",AD22="Di",AF22="F")</formula>
    </cfRule>
    <cfRule type="expression" dxfId="2362" priority="2421">
      <formula>AD22&lt;&gt;""</formula>
    </cfRule>
  </conditionalFormatting>
  <conditionalFormatting sqref="AH22">
    <cfRule type="cellIs" dxfId="2361" priority="2414" operator="equal">
      <formula>" "</formula>
    </cfRule>
    <cfRule type="expression" dxfId="2360" priority="2415">
      <formula>OR(AD22="Sa",AD22="Di",AF22="F")</formula>
    </cfRule>
    <cfRule type="expression" dxfId="2359" priority="2416">
      <formula>AE22&lt;&gt;""</formula>
    </cfRule>
  </conditionalFormatting>
  <conditionalFormatting sqref="AI24">
    <cfRule type="cellIs" dxfId="2358" priority="2404" operator="equal">
      <formula>" "</formula>
    </cfRule>
    <cfRule type="expression" dxfId="2357" priority="2410">
      <formula>OR(AD24="Sa",AD24="Di",AF24="F")</formula>
    </cfRule>
    <cfRule type="expression" dxfId="2356" priority="2411">
      <formula>AD24&lt;&gt;""</formula>
    </cfRule>
  </conditionalFormatting>
  <conditionalFormatting sqref="AG24">
    <cfRule type="cellIs" dxfId="2355" priority="2408" operator="equal">
      <formula>" "</formula>
    </cfRule>
    <cfRule type="expression" dxfId="2354" priority="2409">
      <formula>OR(AD24="Sa",AD24="Di",AF24="F")</formula>
    </cfRule>
    <cfRule type="expression" dxfId="2353" priority="2412">
      <formula>AD24&lt;&gt;""</formula>
    </cfRule>
  </conditionalFormatting>
  <conditionalFormatting sqref="AH24">
    <cfRule type="cellIs" dxfId="2352" priority="2405" operator="equal">
      <formula>" "</formula>
    </cfRule>
    <cfRule type="expression" dxfId="2351" priority="2406">
      <formula>OR(AD24="Sa",AD24="Di",AF24="F")</formula>
    </cfRule>
    <cfRule type="expression" dxfId="2350" priority="2407">
      <formula>AE24&lt;&gt;""</formula>
    </cfRule>
  </conditionalFormatting>
  <conditionalFormatting sqref="AI26">
    <cfRule type="cellIs" dxfId="2349" priority="2395" operator="equal">
      <formula>" "</formula>
    </cfRule>
    <cfRule type="expression" dxfId="2348" priority="2401">
      <formula>OR(AD26="Sa",AD26="Di",AF26="F")</formula>
    </cfRule>
    <cfRule type="expression" dxfId="2347" priority="2402">
      <formula>AD26&lt;&gt;""</formula>
    </cfRule>
  </conditionalFormatting>
  <conditionalFormatting sqref="AG26">
    <cfRule type="cellIs" dxfId="2346" priority="2399" operator="equal">
      <formula>" "</formula>
    </cfRule>
    <cfRule type="expression" dxfId="2345" priority="2400">
      <formula>OR(AD26="Sa",AD26="Di",AF26="F")</formula>
    </cfRule>
    <cfRule type="expression" dxfId="2344" priority="2403">
      <formula>AD26&lt;&gt;""</formula>
    </cfRule>
  </conditionalFormatting>
  <conditionalFormatting sqref="AH26">
    <cfRule type="cellIs" dxfId="2343" priority="2396" operator="equal">
      <formula>" "</formula>
    </cfRule>
    <cfRule type="expression" dxfId="2342" priority="2397">
      <formula>OR(AD26="Sa",AD26="Di",AF26="F")</formula>
    </cfRule>
    <cfRule type="expression" dxfId="2341" priority="2398">
      <formula>AE26&lt;&gt;""</formula>
    </cfRule>
  </conditionalFormatting>
  <conditionalFormatting sqref="AI28">
    <cfRule type="cellIs" dxfId="2340" priority="2386" operator="equal">
      <formula>" "</formula>
    </cfRule>
    <cfRule type="expression" dxfId="2339" priority="2392">
      <formula>OR(AD28="Sa",AD28="Di",AF28="F")</formula>
    </cfRule>
    <cfRule type="expression" dxfId="2338" priority="2393">
      <formula>AD28&lt;&gt;""</formula>
    </cfRule>
  </conditionalFormatting>
  <conditionalFormatting sqref="AG28">
    <cfRule type="cellIs" dxfId="2337" priority="2390" operator="equal">
      <formula>" "</formula>
    </cfRule>
    <cfRule type="expression" dxfId="2336" priority="2391">
      <formula>OR(AD28="Sa",AD28="Di",AF28="F")</formula>
    </cfRule>
    <cfRule type="expression" dxfId="2335" priority="2394">
      <formula>AD28&lt;&gt;""</formula>
    </cfRule>
  </conditionalFormatting>
  <conditionalFormatting sqref="AH28">
    <cfRule type="cellIs" dxfId="2334" priority="2387" operator="equal">
      <formula>" "</formula>
    </cfRule>
    <cfRule type="expression" dxfId="2333" priority="2388">
      <formula>OR(AD28="Sa",AD28="Di",AF28="F")</formula>
    </cfRule>
    <cfRule type="expression" dxfId="2332" priority="2389">
      <formula>AE28&lt;&gt;""</formula>
    </cfRule>
  </conditionalFormatting>
  <conditionalFormatting sqref="AI30">
    <cfRule type="cellIs" dxfId="2331" priority="2377" operator="equal">
      <formula>" "</formula>
    </cfRule>
    <cfRule type="expression" dxfId="2330" priority="2383">
      <formula>OR(AD30="Sa",AD30="Di",AF30="F")</formula>
    </cfRule>
    <cfRule type="expression" dxfId="2329" priority="2384">
      <formula>AD30&lt;&gt;""</formula>
    </cfRule>
  </conditionalFormatting>
  <conditionalFormatting sqref="AG30">
    <cfRule type="cellIs" dxfId="2328" priority="2381" operator="equal">
      <formula>" "</formula>
    </cfRule>
    <cfRule type="expression" dxfId="2327" priority="2382">
      <formula>OR(AD30="Sa",AD30="Di",AF30="F")</formula>
    </cfRule>
    <cfRule type="expression" dxfId="2326" priority="2385">
      <formula>AD30&lt;&gt;""</formula>
    </cfRule>
  </conditionalFormatting>
  <conditionalFormatting sqref="AH30">
    <cfRule type="cellIs" dxfId="2325" priority="2378" operator="equal">
      <formula>" "</formula>
    </cfRule>
    <cfRule type="expression" dxfId="2324" priority="2379">
      <formula>OR(AD30="Sa",AD30="Di",AF30="F")</formula>
    </cfRule>
    <cfRule type="expression" dxfId="2323" priority="2380">
      <formula>AE30&lt;&gt;""</formula>
    </cfRule>
  </conditionalFormatting>
  <conditionalFormatting sqref="AI32">
    <cfRule type="cellIs" dxfId="2322" priority="2368" operator="equal">
      <formula>" "</formula>
    </cfRule>
    <cfRule type="expression" dxfId="2321" priority="2374">
      <formula>OR(AD32="Sa",AD32="Di",AF32="F")</formula>
    </cfRule>
    <cfRule type="expression" dxfId="2320" priority="2375">
      <formula>AD32&lt;&gt;""</formula>
    </cfRule>
  </conditionalFormatting>
  <conditionalFormatting sqref="AG32">
    <cfRule type="cellIs" dxfId="2319" priority="2372" operator="equal">
      <formula>" "</formula>
    </cfRule>
    <cfRule type="expression" dxfId="2318" priority="2373">
      <formula>OR(AD32="Sa",AD32="Di",AF32="F")</formula>
    </cfRule>
    <cfRule type="expression" dxfId="2317" priority="2376">
      <formula>AD32&lt;&gt;""</formula>
    </cfRule>
  </conditionalFormatting>
  <conditionalFormatting sqref="AH32">
    <cfRule type="cellIs" dxfId="2316" priority="2369" operator="equal">
      <formula>" "</formula>
    </cfRule>
    <cfRule type="expression" dxfId="2315" priority="2370">
      <formula>OR(AD32="Sa",AD32="Di",AF32="F")</formula>
    </cfRule>
    <cfRule type="expression" dxfId="2314" priority="2371">
      <formula>AE32&lt;&gt;""</formula>
    </cfRule>
  </conditionalFormatting>
  <conditionalFormatting sqref="AI34">
    <cfRule type="cellIs" dxfId="2313" priority="2359" operator="equal">
      <formula>" "</formula>
    </cfRule>
    <cfRule type="expression" dxfId="2312" priority="2365">
      <formula>OR(AD34="Sa",AD34="Di",AF34="F")</formula>
    </cfRule>
    <cfRule type="expression" dxfId="2311" priority="2366">
      <formula>AD34&lt;&gt;""</formula>
    </cfRule>
  </conditionalFormatting>
  <conditionalFormatting sqref="AG34">
    <cfRule type="cellIs" dxfId="2310" priority="2363" operator="equal">
      <formula>" "</formula>
    </cfRule>
    <cfRule type="expression" dxfId="2309" priority="2364">
      <formula>OR(AD34="Sa",AD34="Di",AF34="F")</formula>
    </cfRule>
    <cfRule type="expression" dxfId="2308" priority="2367">
      <formula>AD34&lt;&gt;""</formula>
    </cfRule>
  </conditionalFormatting>
  <conditionalFormatting sqref="AH34">
    <cfRule type="cellIs" dxfId="2307" priority="2360" operator="equal">
      <formula>" "</formula>
    </cfRule>
    <cfRule type="expression" dxfId="2306" priority="2361">
      <formula>OR(AD34="Sa",AD34="Di",AF34="F")</formula>
    </cfRule>
    <cfRule type="expression" dxfId="2305" priority="2362">
      <formula>AE34&lt;&gt;""</formula>
    </cfRule>
  </conditionalFormatting>
  <conditionalFormatting sqref="AI36">
    <cfRule type="cellIs" dxfId="2304" priority="2350" operator="equal">
      <formula>" "</formula>
    </cfRule>
    <cfRule type="expression" dxfId="2303" priority="2356">
      <formula>OR(AD36="Sa",AD36="Di",AF36="F")</formula>
    </cfRule>
    <cfRule type="expression" dxfId="2302" priority="2357">
      <formula>AD36&lt;&gt;""</formula>
    </cfRule>
  </conditionalFormatting>
  <conditionalFormatting sqref="AG36">
    <cfRule type="cellIs" dxfId="2301" priority="2354" operator="equal">
      <formula>" "</formula>
    </cfRule>
    <cfRule type="expression" dxfId="2300" priority="2355">
      <formula>OR(AD36="Sa",AD36="Di",AF36="F")</formula>
    </cfRule>
    <cfRule type="expression" dxfId="2299" priority="2358">
      <formula>AD36&lt;&gt;""</formula>
    </cfRule>
  </conditionalFormatting>
  <conditionalFormatting sqref="AH36">
    <cfRule type="cellIs" dxfId="2298" priority="2351" operator="equal">
      <formula>" "</formula>
    </cfRule>
    <cfRule type="expression" dxfId="2297" priority="2352">
      <formula>OR(AD36="Sa",AD36="Di",AF36="F")</formula>
    </cfRule>
    <cfRule type="expression" dxfId="2296" priority="2353">
      <formula>AE36&lt;&gt;""</formula>
    </cfRule>
  </conditionalFormatting>
  <conditionalFormatting sqref="AI38">
    <cfRule type="cellIs" dxfId="2295" priority="2341" operator="equal">
      <formula>" "</formula>
    </cfRule>
    <cfRule type="expression" dxfId="2294" priority="2347">
      <formula>OR(AD38="Sa",AD38="Di",AF38="F")</formula>
    </cfRule>
    <cfRule type="expression" dxfId="2293" priority="2348">
      <formula>AD38&lt;&gt;""</formula>
    </cfRule>
  </conditionalFormatting>
  <conditionalFormatting sqref="AG38">
    <cfRule type="cellIs" dxfId="2292" priority="2345" operator="equal">
      <formula>" "</formula>
    </cfRule>
    <cfRule type="expression" dxfId="2291" priority="2346">
      <formula>OR(AD38="Sa",AD38="Di",AF38="F")</formula>
    </cfRule>
    <cfRule type="expression" dxfId="2290" priority="2349">
      <formula>AD38&lt;&gt;""</formula>
    </cfRule>
  </conditionalFormatting>
  <conditionalFormatting sqref="AH38">
    <cfRule type="cellIs" dxfId="2289" priority="2342" operator="equal">
      <formula>" "</formula>
    </cfRule>
    <cfRule type="expression" dxfId="2288" priority="2343">
      <formula>OR(AD38="Sa",AD38="Di",AF38="F")</formula>
    </cfRule>
    <cfRule type="expression" dxfId="2287" priority="2344">
      <formula>AE38&lt;&gt;""</formula>
    </cfRule>
  </conditionalFormatting>
  <conditionalFormatting sqref="AI40">
    <cfRule type="cellIs" dxfId="2286" priority="2332" operator="equal">
      <formula>" "</formula>
    </cfRule>
    <cfRule type="expression" dxfId="2285" priority="2338">
      <formula>OR(AD40="Sa",AD40="Di",AF40="F")</formula>
    </cfRule>
    <cfRule type="expression" dxfId="2284" priority="2339">
      <formula>AD40&lt;&gt;""</formula>
    </cfRule>
  </conditionalFormatting>
  <conditionalFormatting sqref="AG40">
    <cfRule type="cellIs" dxfId="2283" priority="2336" operator="equal">
      <formula>" "</formula>
    </cfRule>
    <cfRule type="expression" dxfId="2282" priority="2337">
      <formula>OR(AD40="Sa",AD40="Di",AF40="F")</formula>
    </cfRule>
    <cfRule type="expression" dxfId="2281" priority="2340">
      <formula>AD40&lt;&gt;""</formula>
    </cfRule>
  </conditionalFormatting>
  <conditionalFormatting sqref="AH40">
    <cfRule type="cellIs" dxfId="2280" priority="2333" operator="equal">
      <formula>" "</formula>
    </cfRule>
    <cfRule type="expression" dxfId="2279" priority="2334">
      <formula>OR(AD40="Sa",AD40="Di",AF40="F")</formula>
    </cfRule>
    <cfRule type="expression" dxfId="2278" priority="2335">
      <formula>AE40&lt;&gt;""</formula>
    </cfRule>
  </conditionalFormatting>
  <conditionalFormatting sqref="AI42">
    <cfRule type="cellIs" dxfId="2277" priority="2323" operator="equal">
      <formula>" "</formula>
    </cfRule>
    <cfRule type="expression" dxfId="2276" priority="2329">
      <formula>OR(AD42="Sa",AD42="Di",AF42="F")</formula>
    </cfRule>
    <cfRule type="expression" dxfId="2275" priority="2330">
      <formula>AD42&lt;&gt;""</formula>
    </cfRule>
  </conditionalFormatting>
  <conditionalFormatting sqref="AG42">
    <cfRule type="cellIs" dxfId="2274" priority="2327" operator="equal">
      <formula>" "</formula>
    </cfRule>
    <cfRule type="expression" dxfId="2273" priority="2328">
      <formula>OR(AD42="Sa",AD42="Di",AF42="F")</formula>
    </cfRule>
    <cfRule type="expression" dxfId="2272" priority="2331">
      <formula>AD42&lt;&gt;""</formula>
    </cfRule>
  </conditionalFormatting>
  <conditionalFormatting sqref="AH42">
    <cfRule type="cellIs" dxfId="2271" priority="2324" operator="equal">
      <formula>" "</formula>
    </cfRule>
    <cfRule type="expression" dxfId="2270" priority="2325">
      <formula>OR(AD42="Sa",AD42="Di",AF42="F")</formula>
    </cfRule>
    <cfRule type="expression" dxfId="2269" priority="2326">
      <formula>AE42&lt;&gt;""</formula>
    </cfRule>
  </conditionalFormatting>
  <conditionalFormatting sqref="AI44">
    <cfRule type="cellIs" dxfId="2268" priority="2314" operator="equal">
      <formula>" "</formula>
    </cfRule>
    <cfRule type="expression" dxfId="2267" priority="2320">
      <formula>OR(AD44="Sa",AD44="Di",AF44="F")</formula>
    </cfRule>
    <cfRule type="expression" dxfId="2266" priority="2321">
      <formula>AD44&lt;&gt;""</formula>
    </cfRule>
  </conditionalFormatting>
  <conditionalFormatting sqref="AG44">
    <cfRule type="cellIs" dxfId="2265" priority="2318" operator="equal">
      <formula>" "</formula>
    </cfRule>
    <cfRule type="expression" dxfId="2264" priority="2319">
      <formula>OR(AD44="Sa",AD44="Di",AF44="F")</formula>
    </cfRule>
    <cfRule type="expression" dxfId="2263" priority="2322">
      <formula>AD44&lt;&gt;""</formula>
    </cfRule>
  </conditionalFormatting>
  <conditionalFormatting sqref="AH44">
    <cfRule type="cellIs" dxfId="2262" priority="2315" operator="equal">
      <formula>" "</formula>
    </cfRule>
    <cfRule type="expression" dxfId="2261" priority="2316">
      <formula>OR(AD44="Sa",AD44="Di",AF44="F")</formula>
    </cfRule>
    <cfRule type="expression" dxfId="2260" priority="2317">
      <formula>AE44&lt;&gt;""</formula>
    </cfRule>
  </conditionalFormatting>
  <conditionalFormatting sqref="AI46">
    <cfRule type="cellIs" dxfId="2259" priority="2305" operator="equal">
      <formula>" "</formula>
    </cfRule>
    <cfRule type="expression" dxfId="2258" priority="2311">
      <formula>OR(AD46="Sa",AD46="Di",AF46="F")</formula>
    </cfRule>
    <cfRule type="expression" dxfId="2257" priority="2312">
      <formula>AD46&lt;&gt;""</formula>
    </cfRule>
  </conditionalFormatting>
  <conditionalFormatting sqref="AG46">
    <cfRule type="cellIs" dxfId="2256" priority="2309" operator="equal">
      <formula>" "</formula>
    </cfRule>
    <cfRule type="expression" dxfId="2255" priority="2310">
      <formula>OR(AD46="Sa",AD46="Di",AF46="F")</formula>
    </cfRule>
    <cfRule type="expression" dxfId="2254" priority="2313">
      <formula>AD46&lt;&gt;""</formula>
    </cfRule>
  </conditionalFormatting>
  <conditionalFormatting sqref="AH46">
    <cfRule type="cellIs" dxfId="2253" priority="2306" operator="equal">
      <formula>" "</formula>
    </cfRule>
    <cfRule type="expression" dxfId="2252" priority="2307">
      <formula>OR(AD46="Sa",AD46="Di",AF46="F")</formula>
    </cfRule>
    <cfRule type="expression" dxfId="2251" priority="2308">
      <formula>AE46&lt;&gt;""</formula>
    </cfRule>
  </conditionalFormatting>
  <conditionalFormatting sqref="AI48">
    <cfRule type="cellIs" dxfId="2250" priority="2296" operator="equal">
      <formula>" "</formula>
    </cfRule>
    <cfRule type="expression" dxfId="2249" priority="2302">
      <formula>OR(AD48="Sa",AD48="Di",AF48="F")</formula>
    </cfRule>
    <cfRule type="expression" dxfId="2248" priority="2303">
      <formula>AD48&lt;&gt;""</formula>
    </cfRule>
  </conditionalFormatting>
  <conditionalFormatting sqref="AG48">
    <cfRule type="cellIs" dxfId="2247" priority="2300" operator="equal">
      <formula>" "</formula>
    </cfRule>
    <cfRule type="expression" dxfId="2246" priority="2301">
      <formula>OR(AD48="Sa",AD48="Di",AF48="F")</formula>
    </cfRule>
    <cfRule type="expression" dxfId="2245" priority="2304">
      <formula>AD48&lt;&gt;""</formula>
    </cfRule>
  </conditionalFormatting>
  <conditionalFormatting sqref="AH48">
    <cfRule type="cellIs" dxfId="2244" priority="2297" operator="equal">
      <formula>" "</formula>
    </cfRule>
    <cfRule type="expression" dxfId="2243" priority="2298">
      <formula>OR(AD48="Sa",AD48="Di",AF48="F")</formula>
    </cfRule>
    <cfRule type="expression" dxfId="2242" priority="2299">
      <formula>AE48&lt;&gt;""</formula>
    </cfRule>
  </conditionalFormatting>
  <conditionalFormatting sqref="AI54">
    <cfRule type="cellIs" dxfId="2241" priority="2269" operator="equal">
      <formula>" "</formula>
    </cfRule>
    <cfRule type="expression" dxfId="2240" priority="2275">
      <formula>OR(AD54="Sa",AD54="Di",AF54="F")</formula>
    </cfRule>
    <cfRule type="expression" dxfId="2239" priority="2276">
      <formula>AD54&lt;&gt;""</formula>
    </cfRule>
  </conditionalFormatting>
  <conditionalFormatting sqref="AG54">
    <cfRule type="cellIs" dxfId="2238" priority="2273" operator="equal">
      <formula>" "</formula>
    </cfRule>
    <cfRule type="expression" dxfId="2237" priority="2274">
      <formula>OR(AD54="Sa",AD54="Di",AF54="F")</formula>
    </cfRule>
    <cfRule type="expression" dxfId="2236" priority="2277">
      <formula>AD54&lt;&gt;""</formula>
    </cfRule>
  </conditionalFormatting>
  <conditionalFormatting sqref="AH54">
    <cfRule type="cellIs" dxfId="2235" priority="2270" operator="equal">
      <formula>" "</formula>
    </cfRule>
    <cfRule type="expression" dxfId="2234" priority="2271">
      <formula>OR(AD54="Sa",AD54="Di",AF54="F")</formula>
    </cfRule>
    <cfRule type="expression" dxfId="2233" priority="2272">
      <formula>AE54&lt;&gt;""</formula>
    </cfRule>
  </conditionalFormatting>
  <conditionalFormatting sqref="AI56">
    <cfRule type="cellIs" dxfId="2232" priority="2260" operator="equal">
      <formula>" "</formula>
    </cfRule>
    <cfRule type="expression" dxfId="2231" priority="2266">
      <formula>OR(AD56="Sa",AD56="Di",AF56="F")</formula>
    </cfRule>
    <cfRule type="expression" dxfId="2230" priority="2267">
      <formula>AD56&lt;&gt;""</formula>
    </cfRule>
  </conditionalFormatting>
  <conditionalFormatting sqref="AG56">
    <cfRule type="cellIs" dxfId="2229" priority="2264" operator="equal">
      <formula>" "</formula>
    </cfRule>
    <cfRule type="expression" dxfId="2228" priority="2265">
      <formula>OR(AD56="Sa",AD56="Di",AF56="F")</formula>
    </cfRule>
    <cfRule type="expression" dxfId="2227" priority="2268">
      <formula>AD56&lt;&gt;""</formula>
    </cfRule>
  </conditionalFormatting>
  <conditionalFormatting sqref="AH56">
    <cfRule type="cellIs" dxfId="2226" priority="2261" operator="equal">
      <formula>" "</formula>
    </cfRule>
    <cfRule type="expression" dxfId="2225" priority="2262">
      <formula>OR(AD56="Sa",AD56="Di",AF56="F")</formula>
    </cfRule>
    <cfRule type="expression" dxfId="2224" priority="2263">
      <formula>AE56&lt;&gt;""</formula>
    </cfRule>
  </conditionalFormatting>
  <conditionalFormatting sqref="AI58">
    <cfRule type="cellIs" dxfId="2223" priority="2251" operator="equal">
      <formula>" "</formula>
    </cfRule>
    <cfRule type="expression" dxfId="2222" priority="2257">
      <formula>OR(AD58="Sa",AD58="Di",AF58="F")</formula>
    </cfRule>
    <cfRule type="expression" dxfId="2221" priority="2258">
      <formula>AD58&lt;&gt;""</formula>
    </cfRule>
  </conditionalFormatting>
  <conditionalFormatting sqref="AG58">
    <cfRule type="cellIs" dxfId="2220" priority="2255" operator="equal">
      <formula>" "</formula>
    </cfRule>
    <cfRule type="expression" dxfId="2219" priority="2256">
      <formula>OR(AD58="Sa",AD58="Di",AF58="F")</formula>
    </cfRule>
    <cfRule type="expression" dxfId="2218" priority="2259">
      <formula>AD58&lt;&gt;""</formula>
    </cfRule>
  </conditionalFormatting>
  <conditionalFormatting sqref="AH58">
    <cfRule type="cellIs" dxfId="2217" priority="2252" operator="equal">
      <formula>" "</formula>
    </cfRule>
    <cfRule type="expression" dxfId="2216" priority="2253">
      <formula>OR(AD58="Sa",AD58="Di",AF58="F")</formula>
    </cfRule>
    <cfRule type="expression" dxfId="2215" priority="2254">
      <formula>AE58&lt;&gt;""</formula>
    </cfRule>
  </conditionalFormatting>
  <conditionalFormatting sqref="AI60">
    <cfRule type="cellIs" dxfId="2214" priority="2242" operator="equal">
      <formula>" "</formula>
    </cfRule>
    <cfRule type="expression" dxfId="2213" priority="2248">
      <formula>OR(AD60="Sa",AD60="Di",AF60="F")</formula>
    </cfRule>
    <cfRule type="expression" dxfId="2212" priority="2249">
      <formula>AD60&lt;&gt;""</formula>
    </cfRule>
  </conditionalFormatting>
  <conditionalFormatting sqref="AG60">
    <cfRule type="cellIs" dxfId="2211" priority="2246" operator="equal">
      <formula>" "</formula>
    </cfRule>
    <cfRule type="expression" dxfId="2210" priority="2247">
      <formula>OR(AD60="Sa",AD60="Di",AF60="F")</formula>
    </cfRule>
    <cfRule type="expression" dxfId="2209" priority="2250">
      <formula>AD60&lt;&gt;""</formula>
    </cfRule>
  </conditionalFormatting>
  <conditionalFormatting sqref="AH60">
    <cfRule type="cellIs" dxfId="2208" priority="2243" operator="equal">
      <formula>" "</formula>
    </cfRule>
    <cfRule type="expression" dxfId="2207" priority="2244">
      <formula>OR(AD60="Sa",AD60="Di",AF60="F")</formula>
    </cfRule>
    <cfRule type="expression" dxfId="2206" priority="2245">
      <formula>AE60&lt;&gt;""</formula>
    </cfRule>
  </conditionalFormatting>
  <conditionalFormatting sqref="AI62">
    <cfRule type="cellIs" dxfId="2205" priority="2233" operator="equal">
      <formula>" "</formula>
    </cfRule>
    <cfRule type="expression" dxfId="2204" priority="2239">
      <formula>OR(AD62="Sa",AD62="Di",AF62="F")</formula>
    </cfRule>
    <cfRule type="expression" dxfId="2203" priority="2240">
      <formula>AD62&lt;&gt;""</formula>
    </cfRule>
  </conditionalFormatting>
  <conditionalFormatting sqref="AG62">
    <cfRule type="cellIs" dxfId="2202" priority="2237" operator="equal">
      <formula>" "</formula>
    </cfRule>
    <cfRule type="expression" dxfId="2201" priority="2238">
      <formula>OR(AD62="Sa",AD62="Di",AF62="F")</formula>
    </cfRule>
    <cfRule type="expression" dxfId="2200" priority="2241">
      <formula>AD62&lt;&gt;""</formula>
    </cfRule>
  </conditionalFormatting>
  <conditionalFormatting sqref="AH62">
    <cfRule type="cellIs" dxfId="2199" priority="2234" operator="equal">
      <formula>" "</formula>
    </cfRule>
    <cfRule type="expression" dxfId="2198" priority="2235">
      <formula>OR(AD62="Sa",AD62="Di",AF62="F")</formula>
    </cfRule>
    <cfRule type="expression" dxfId="2197" priority="2236">
      <formula>AE62&lt;&gt;""</formula>
    </cfRule>
  </conditionalFormatting>
  <conditionalFormatting sqref="AI64">
    <cfRule type="cellIs" dxfId="2196" priority="2224" operator="equal">
      <formula>" "</formula>
    </cfRule>
    <cfRule type="expression" dxfId="2195" priority="2230">
      <formula>OR(AD64="Sa",AD64="Di",AF64="F")</formula>
    </cfRule>
    <cfRule type="expression" dxfId="2194" priority="2231">
      <formula>AD64&lt;&gt;""</formula>
    </cfRule>
  </conditionalFormatting>
  <conditionalFormatting sqref="AG64">
    <cfRule type="cellIs" dxfId="2193" priority="2228" operator="equal">
      <formula>" "</formula>
    </cfRule>
    <cfRule type="expression" dxfId="2192" priority="2229">
      <formula>OR(AD64="Sa",AD64="Di",AF64="F")</formula>
    </cfRule>
    <cfRule type="expression" dxfId="2191" priority="2232">
      <formula>AD64&lt;&gt;""</formula>
    </cfRule>
  </conditionalFormatting>
  <conditionalFormatting sqref="AH64">
    <cfRule type="cellIs" dxfId="2190" priority="2225" operator="equal">
      <formula>" "</formula>
    </cfRule>
    <cfRule type="expression" dxfId="2189" priority="2226">
      <formula>OR(AD64="Sa",AD64="Di",AF64="F")</formula>
    </cfRule>
    <cfRule type="expression" dxfId="2188" priority="2227">
      <formula>AE64&lt;&gt;""</formula>
    </cfRule>
  </conditionalFormatting>
  <conditionalFormatting sqref="AI66">
    <cfRule type="cellIs" dxfId="2187" priority="2215" operator="equal">
      <formula>" "</formula>
    </cfRule>
    <cfRule type="expression" dxfId="2186" priority="2221">
      <formula>OR(AD66="Sa",AD66="Di",AF66="F")</formula>
    </cfRule>
    <cfRule type="expression" dxfId="2185" priority="2222">
      <formula>AD66&lt;&gt;""</formula>
    </cfRule>
  </conditionalFormatting>
  <conditionalFormatting sqref="AG66">
    <cfRule type="cellIs" dxfId="2184" priority="2219" operator="equal">
      <formula>" "</formula>
    </cfRule>
    <cfRule type="expression" dxfId="2183" priority="2220">
      <formula>OR(AD66="Sa",AD66="Di",AF66="F")</formula>
    </cfRule>
    <cfRule type="expression" dxfId="2182" priority="2223">
      <formula>AD66&lt;&gt;""</formula>
    </cfRule>
  </conditionalFormatting>
  <conditionalFormatting sqref="AH66">
    <cfRule type="cellIs" dxfId="2181" priority="2216" operator="equal">
      <formula>" "</formula>
    </cfRule>
    <cfRule type="expression" dxfId="2180" priority="2217">
      <formula>OR(AD66="Sa",AD66="Di",AF66="F")</formula>
    </cfRule>
    <cfRule type="expression" dxfId="2179" priority="2218">
      <formula>AE66&lt;&gt;""</formula>
    </cfRule>
  </conditionalFormatting>
  <conditionalFormatting sqref="AP6">
    <cfRule type="cellIs" dxfId="2178" priority="2206" operator="equal">
      <formula>" "</formula>
    </cfRule>
    <cfRule type="expression" dxfId="2177" priority="2212">
      <formula>OR(AK6="Sa",AK6="Di",AM6="F")</formula>
    </cfRule>
    <cfRule type="expression" dxfId="2176" priority="2213">
      <formula>AK6&lt;&gt;""</formula>
    </cfRule>
  </conditionalFormatting>
  <conditionalFormatting sqref="AN6">
    <cfRule type="cellIs" dxfId="2175" priority="2210" operator="equal">
      <formula>" "</formula>
    </cfRule>
    <cfRule type="expression" dxfId="2174" priority="2211">
      <formula>OR(AK6="Sa",AK6="Di",AM6="F")</formula>
    </cfRule>
    <cfRule type="expression" dxfId="2173" priority="2214">
      <formula>AK6&lt;&gt;""</formula>
    </cfRule>
  </conditionalFormatting>
  <conditionalFormatting sqref="AO6">
    <cfRule type="cellIs" dxfId="2172" priority="2207" operator="equal">
      <formula>" "</formula>
    </cfRule>
    <cfRule type="expression" dxfId="2171" priority="2208">
      <formula>OR(AK6="Sa",AK6="Di",AM6="F")</formula>
    </cfRule>
    <cfRule type="expression" dxfId="2170" priority="2209">
      <formula>AL6&lt;&gt;""</formula>
    </cfRule>
  </conditionalFormatting>
  <conditionalFormatting sqref="AP8">
    <cfRule type="cellIs" dxfId="2169" priority="2197" operator="equal">
      <formula>" "</formula>
    </cfRule>
    <cfRule type="expression" dxfId="2168" priority="2203">
      <formula>OR(AK8="Sa",AK8="Di",AM8="F")</formula>
    </cfRule>
    <cfRule type="expression" dxfId="2167" priority="2204">
      <formula>AK8&lt;&gt;""</formula>
    </cfRule>
  </conditionalFormatting>
  <conditionalFormatting sqref="AN8">
    <cfRule type="cellIs" dxfId="2166" priority="2201" operator="equal">
      <formula>" "</formula>
    </cfRule>
    <cfRule type="expression" dxfId="2165" priority="2202">
      <formula>OR(AK8="Sa",AK8="Di",AM8="F")</formula>
    </cfRule>
    <cfRule type="expression" dxfId="2164" priority="2205">
      <formula>AK8&lt;&gt;""</formula>
    </cfRule>
  </conditionalFormatting>
  <conditionalFormatting sqref="AO8">
    <cfRule type="cellIs" dxfId="2163" priority="2198" operator="equal">
      <formula>" "</formula>
    </cfRule>
    <cfRule type="expression" dxfId="2162" priority="2199">
      <formula>OR(AK8="Sa",AK8="Di",AM8="F")</formula>
    </cfRule>
    <cfRule type="expression" dxfId="2161" priority="2200">
      <formula>AL8&lt;&gt;""</formula>
    </cfRule>
  </conditionalFormatting>
  <conditionalFormatting sqref="AP10">
    <cfRule type="cellIs" dxfId="2160" priority="2188" operator="equal">
      <formula>" "</formula>
    </cfRule>
    <cfRule type="expression" dxfId="2159" priority="2194">
      <formula>OR(AK10="Sa",AK10="Di",AM10="F")</formula>
    </cfRule>
    <cfRule type="expression" dxfId="2158" priority="2195">
      <formula>AK10&lt;&gt;""</formula>
    </cfRule>
  </conditionalFormatting>
  <conditionalFormatting sqref="AN10">
    <cfRule type="cellIs" dxfId="2157" priority="2192" operator="equal">
      <formula>" "</formula>
    </cfRule>
    <cfRule type="expression" dxfId="2156" priority="2193">
      <formula>OR(AK10="Sa",AK10="Di",AM10="F")</formula>
    </cfRule>
    <cfRule type="expression" dxfId="2155" priority="2196">
      <formula>AK10&lt;&gt;""</formula>
    </cfRule>
  </conditionalFormatting>
  <conditionalFormatting sqref="AO10">
    <cfRule type="cellIs" dxfId="2154" priority="2189" operator="equal">
      <formula>" "</formula>
    </cfRule>
    <cfRule type="expression" dxfId="2153" priority="2190">
      <formula>OR(AK10="Sa",AK10="Di",AM10="F")</formula>
    </cfRule>
    <cfRule type="expression" dxfId="2152" priority="2191">
      <formula>AL10&lt;&gt;""</formula>
    </cfRule>
  </conditionalFormatting>
  <conditionalFormatting sqref="AP12">
    <cfRule type="cellIs" dxfId="2151" priority="2179" operator="equal">
      <formula>" "</formula>
    </cfRule>
    <cfRule type="expression" dxfId="2150" priority="2185">
      <formula>OR(AK12="Sa",AK12="Di",AM12="F")</formula>
    </cfRule>
    <cfRule type="expression" dxfId="2149" priority="2186">
      <formula>AK12&lt;&gt;""</formula>
    </cfRule>
  </conditionalFormatting>
  <conditionalFormatting sqref="AN12">
    <cfRule type="cellIs" dxfId="2148" priority="2183" operator="equal">
      <formula>" "</formula>
    </cfRule>
    <cfRule type="expression" dxfId="2147" priority="2184">
      <formula>OR(AK12="Sa",AK12="Di",AM12="F")</formula>
    </cfRule>
    <cfRule type="expression" dxfId="2146" priority="2187">
      <formula>AK12&lt;&gt;""</formula>
    </cfRule>
  </conditionalFormatting>
  <conditionalFormatting sqref="AO12">
    <cfRule type="cellIs" dxfId="2145" priority="2180" operator="equal">
      <formula>" "</formula>
    </cfRule>
    <cfRule type="expression" dxfId="2144" priority="2181">
      <formula>OR(AK12="Sa",AK12="Di",AM12="F")</formula>
    </cfRule>
    <cfRule type="expression" dxfId="2143" priority="2182">
      <formula>AL12&lt;&gt;""</formula>
    </cfRule>
  </conditionalFormatting>
  <conditionalFormatting sqref="AP14">
    <cfRule type="cellIs" dxfId="2142" priority="2170" operator="equal">
      <formula>" "</formula>
    </cfRule>
    <cfRule type="expression" dxfId="2141" priority="2176">
      <formula>OR(AK14="Sa",AK14="Di",AM14="F")</formula>
    </cfRule>
    <cfRule type="expression" dxfId="2140" priority="2177">
      <formula>AK14&lt;&gt;""</formula>
    </cfRule>
  </conditionalFormatting>
  <conditionalFormatting sqref="AN14">
    <cfRule type="cellIs" dxfId="2139" priority="2174" operator="equal">
      <formula>" "</formula>
    </cfRule>
    <cfRule type="expression" dxfId="2138" priority="2175">
      <formula>OR(AK14="Sa",AK14="Di",AM14="F")</formula>
    </cfRule>
    <cfRule type="expression" dxfId="2137" priority="2178">
      <formula>AK14&lt;&gt;""</formula>
    </cfRule>
  </conditionalFormatting>
  <conditionalFormatting sqref="AO14">
    <cfRule type="cellIs" dxfId="2136" priority="2171" operator="equal">
      <formula>" "</formula>
    </cfRule>
    <cfRule type="expression" dxfId="2135" priority="2172">
      <formula>OR(AK14="Sa",AK14="Di",AM14="F")</formula>
    </cfRule>
    <cfRule type="expression" dxfId="2134" priority="2173">
      <formula>AL14&lt;&gt;""</formula>
    </cfRule>
  </conditionalFormatting>
  <conditionalFormatting sqref="AP16">
    <cfRule type="cellIs" dxfId="2133" priority="2161" operator="equal">
      <formula>" "</formula>
    </cfRule>
    <cfRule type="expression" dxfId="2132" priority="2167">
      <formula>OR(AK16="Sa",AK16="Di",AM16="F")</formula>
    </cfRule>
    <cfRule type="expression" dxfId="2131" priority="2168">
      <formula>AK16&lt;&gt;""</formula>
    </cfRule>
  </conditionalFormatting>
  <conditionalFormatting sqref="AN16">
    <cfRule type="cellIs" dxfId="2130" priority="2165" operator="equal">
      <formula>" "</formula>
    </cfRule>
    <cfRule type="expression" dxfId="2129" priority="2166">
      <formula>OR(AK16="Sa",AK16="Di",AM16="F")</formula>
    </cfRule>
    <cfRule type="expression" dxfId="2128" priority="2169">
      <formula>AK16&lt;&gt;""</formula>
    </cfRule>
  </conditionalFormatting>
  <conditionalFormatting sqref="AO16">
    <cfRule type="cellIs" dxfId="2127" priority="2162" operator="equal">
      <formula>" "</formula>
    </cfRule>
    <cfRule type="expression" dxfId="2126" priority="2163">
      <formula>OR(AK16="Sa",AK16="Di",AM16="F")</formula>
    </cfRule>
    <cfRule type="expression" dxfId="2125" priority="2164">
      <formula>AL16&lt;&gt;""</formula>
    </cfRule>
  </conditionalFormatting>
  <conditionalFormatting sqref="AP18">
    <cfRule type="cellIs" dxfId="2124" priority="2152" operator="equal">
      <formula>" "</formula>
    </cfRule>
    <cfRule type="expression" dxfId="2123" priority="2158">
      <formula>OR(AK18="Sa",AK18="Di",AM18="F")</formula>
    </cfRule>
    <cfRule type="expression" dxfId="2122" priority="2159">
      <formula>AK18&lt;&gt;""</formula>
    </cfRule>
  </conditionalFormatting>
  <conditionalFormatting sqref="AN18">
    <cfRule type="cellIs" dxfId="2121" priority="2156" operator="equal">
      <formula>" "</formula>
    </cfRule>
    <cfRule type="expression" dxfId="2120" priority="2157">
      <formula>OR(AK18="Sa",AK18="Di",AM18="F")</formula>
    </cfRule>
    <cfRule type="expression" dxfId="2119" priority="2160">
      <formula>AK18&lt;&gt;""</formula>
    </cfRule>
  </conditionalFormatting>
  <conditionalFormatting sqref="AO18">
    <cfRule type="cellIs" dxfId="2118" priority="2153" operator="equal">
      <formula>" "</formula>
    </cfRule>
    <cfRule type="expression" dxfId="2117" priority="2154">
      <formula>OR(AK18="Sa",AK18="Di",AM18="F")</formula>
    </cfRule>
    <cfRule type="expression" dxfId="2116" priority="2155">
      <formula>AL18&lt;&gt;""</formula>
    </cfRule>
  </conditionalFormatting>
  <conditionalFormatting sqref="AP20">
    <cfRule type="cellIs" dxfId="2115" priority="2143" operator="equal">
      <formula>" "</formula>
    </cfRule>
    <cfRule type="expression" dxfId="2114" priority="2149">
      <formula>OR(AK20="Sa",AK20="Di",AM20="F")</formula>
    </cfRule>
    <cfRule type="expression" dxfId="2113" priority="2150">
      <formula>AK20&lt;&gt;""</formula>
    </cfRule>
  </conditionalFormatting>
  <conditionalFormatting sqref="AN20">
    <cfRule type="cellIs" dxfId="2112" priority="2147" operator="equal">
      <formula>" "</formula>
    </cfRule>
    <cfRule type="expression" dxfId="2111" priority="2148">
      <formula>OR(AK20="Sa",AK20="Di",AM20="F")</formula>
    </cfRule>
    <cfRule type="expression" dxfId="2110" priority="2151">
      <formula>AK20&lt;&gt;""</formula>
    </cfRule>
  </conditionalFormatting>
  <conditionalFormatting sqref="AO20">
    <cfRule type="cellIs" dxfId="2109" priority="2144" operator="equal">
      <formula>" "</formula>
    </cfRule>
    <cfRule type="expression" dxfId="2108" priority="2145">
      <formula>OR(AK20="Sa",AK20="Di",AM20="F")</formula>
    </cfRule>
    <cfRule type="expression" dxfId="2107" priority="2146">
      <formula>AL20&lt;&gt;""</formula>
    </cfRule>
  </conditionalFormatting>
  <conditionalFormatting sqref="AP22">
    <cfRule type="cellIs" dxfId="2106" priority="2134" operator="equal">
      <formula>" "</formula>
    </cfRule>
    <cfRule type="expression" dxfId="2105" priority="2140">
      <formula>OR(AK22="Sa",AK22="Di",AM22="F")</formula>
    </cfRule>
    <cfRule type="expression" dxfId="2104" priority="2141">
      <formula>AK22&lt;&gt;""</formula>
    </cfRule>
  </conditionalFormatting>
  <conditionalFormatting sqref="AN22">
    <cfRule type="cellIs" dxfId="2103" priority="2138" operator="equal">
      <formula>" "</formula>
    </cfRule>
    <cfRule type="expression" dxfId="2102" priority="2139">
      <formula>OR(AK22="Sa",AK22="Di",AM22="F")</formula>
    </cfRule>
    <cfRule type="expression" dxfId="2101" priority="2142">
      <formula>AK22&lt;&gt;""</formula>
    </cfRule>
  </conditionalFormatting>
  <conditionalFormatting sqref="AO22">
    <cfRule type="cellIs" dxfId="2100" priority="2135" operator="equal">
      <formula>" "</formula>
    </cfRule>
    <cfRule type="expression" dxfId="2099" priority="2136">
      <formula>OR(AK22="Sa",AK22="Di",AM22="F")</formula>
    </cfRule>
    <cfRule type="expression" dxfId="2098" priority="2137">
      <formula>AL22&lt;&gt;""</formula>
    </cfRule>
  </conditionalFormatting>
  <conditionalFormatting sqref="AP24">
    <cfRule type="cellIs" dxfId="2097" priority="2125" operator="equal">
      <formula>" "</formula>
    </cfRule>
    <cfRule type="expression" dxfId="2096" priority="2131">
      <formula>OR(AK24="Sa",AK24="Di",AM24="F")</formula>
    </cfRule>
    <cfRule type="expression" dxfId="2095" priority="2132">
      <formula>AK24&lt;&gt;""</formula>
    </cfRule>
  </conditionalFormatting>
  <conditionalFormatting sqref="AN24">
    <cfRule type="cellIs" dxfId="2094" priority="2129" operator="equal">
      <formula>" "</formula>
    </cfRule>
    <cfRule type="expression" dxfId="2093" priority="2130">
      <formula>OR(AK24="Sa",AK24="Di",AM24="F")</formula>
    </cfRule>
    <cfRule type="expression" dxfId="2092" priority="2133">
      <formula>AK24&lt;&gt;""</formula>
    </cfRule>
  </conditionalFormatting>
  <conditionalFormatting sqref="AO24">
    <cfRule type="cellIs" dxfId="2091" priority="2126" operator="equal">
      <formula>" "</formula>
    </cfRule>
    <cfRule type="expression" dxfId="2090" priority="2127">
      <formula>OR(AK24="Sa",AK24="Di",AM24="F")</formula>
    </cfRule>
    <cfRule type="expression" dxfId="2089" priority="2128">
      <formula>AL24&lt;&gt;""</formula>
    </cfRule>
  </conditionalFormatting>
  <conditionalFormatting sqref="AP26">
    <cfRule type="cellIs" dxfId="2088" priority="2116" operator="equal">
      <formula>" "</formula>
    </cfRule>
    <cfRule type="expression" dxfId="2087" priority="2122">
      <formula>OR(AK26="Sa",AK26="Di",AM26="F")</formula>
    </cfRule>
    <cfRule type="expression" dxfId="2086" priority="2123">
      <formula>AK26&lt;&gt;""</formula>
    </cfRule>
  </conditionalFormatting>
  <conditionalFormatting sqref="AN26">
    <cfRule type="cellIs" dxfId="2085" priority="2120" operator="equal">
      <formula>" "</formula>
    </cfRule>
    <cfRule type="expression" dxfId="2084" priority="2121">
      <formula>OR(AK26="Sa",AK26="Di",AM26="F")</formula>
    </cfRule>
    <cfRule type="expression" dxfId="2083" priority="2124">
      <formula>AK26&lt;&gt;""</formula>
    </cfRule>
  </conditionalFormatting>
  <conditionalFormatting sqref="AO26">
    <cfRule type="cellIs" dxfId="2082" priority="2117" operator="equal">
      <formula>" "</formula>
    </cfRule>
    <cfRule type="expression" dxfId="2081" priority="2118">
      <formula>OR(AK26="Sa",AK26="Di",AM26="F")</formula>
    </cfRule>
    <cfRule type="expression" dxfId="2080" priority="2119">
      <formula>AL26&lt;&gt;""</formula>
    </cfRule>
  </conditionalFormatting>
  <conditionalFormatting sqref="AP28">
    <cfRule type="cellIs" dxfId="2079" priority="2107" operator="equal">
      <formula>" "</formula>
    </cfRule>
    <cfRule type="expression" dxfId="2078" priority="2113">
      <formula>OR(AK28="Sa",AK28="Di",AM28="F")</formula>
    </cfRule>
    <cfRule type="expression" dxfId="2077" priority="2114">
      <formula>AK28&lt;&gt;""</formula>
    </cfRule>
  </conditionalFormatting>
  <conditionalFormatting sqref="AN28">
    <cfRule type="cellIs" dxfId="2076" priority="2111" operator="equal">
      <formula>" "</formula>
    </cfRule>
    <cfRule type="expression" dxfId="2075" priority="2112">
      <formula>OR(AK28="Sa",AK28="Di",AM28="F")</formula>
    </cfRule>
    <cfRule type="expression" dxfId="2074" priority="2115">
      <formula>AK28&lt;&gt;""</formula>
    </cfRule>
  </conditionalFormatting>
  <conditionalFormatting sqref="AO28">
    <cfRule type="cellIs" dxfId="2073" priority="2108" operator="equal">
      <formula>" "</formula>
    </cfRule>
    <cfRule type="expression" dxfId="2072" priority="2109">
      <formula>OR(AK28="Sa",AK28="Di",AM28="F")</formula>
    </cfRule>
    <cfRule type="expression" dxfId="2071" priority="2110">
      <formula>AL28&lt;&gt;""</formula>
    </cfRule>
  </conditionalFormatting>
  <conditionalFormatting sqref="AP30">
    <cfRule type="cellIs" dxfId="2070" priority="2098" operator="equal">
      <formula>" "</formula>
    </cfRule>
    <cfRule type="expression" dxfId="2069" priority="2104">
      <formula>OR(AK30="Sa",AK30="Di",AM30="F")</formula>
    </cfRule>
    <cfRule type="expression" dxfId="2068" priority="2105">
      <formula>AK30&lt;&gt;""</formula>
    </cfRule>
  </conditionalFormatting>
  <conditionalFormatting sqref="AN30">
    <cfRule type="cellIs" dxfId="2067" priority="2102" operator="equal">
      <formula>" "</formula>
    </cfRule>
    <cfRule type="expression" dxfId="2066" priority="2103">
      <formula>OR(AK30="Sa",AK30="Di",AM30="F")</formula>
    </cfRule>
    <cfRule type="expression" dxfId="2065" priority="2106">
      <formula>AK30&lt;&gt;""</formula>
    </cfRule>
  </conditionalFormatting>
  <conditionalFormatting sqref="AO30">
    <cfRule type="cellIs" dxfId="2064" priority="2099" operator="equal">
      <formula>" "</formula>
    </cfRule>
    <cfRule type="expression" dxfId="2063" priority="2100">
      <formula>OR(AK30="Sa",AK30="Di",AM30="F")</formula>
    </cfRule>
    <cfRule type="expression" dxfId="2062" priority="2101">
      <formula>AL30&lt;&gt;""</formula>
    </cfRule>
  </conditionalFormatting>
  <conditionalFormatting sqref="AP32">
    <cfRule type="cellIs" dxfId="2061" priority="2089" operator="equal">
      <formula>" "</formula>
    </cfRule>
    <cfRule type="expression" dxfId="2060" priority="2095">
      <formula>OR(AK32="Sa",AK32="Di",AM32="F")</formula>
    </cfRule>
    <cfRule type="expression" dxfId="2059" priority="2096">
      <formula>AK32&lt;&gt;""</formula>
    </cfRule>
  </conditionalFormatting>
  <conditionalFormatting sqref="AN32">
    <cfRule type="cellIs" dxfId="2058" priority="2093" operator="equal">
      <formula>" "</formula>
    </cfRule>
    <cfRule type="expression" dxfId="2057" priority="2094">
      <formula>OR(AK32="Sa",AK32="Di",AM32="F")</formula>
    </cfRule>
    <cfRule type="expression" dxfId="2056" priority="2097">
      <formula>AK32&lt;&gt;""</formula>
    </cfRule>
  </conditionalFormatting>
  <conditionalFormatting sqref="AO32">
    <cfRule type="cellIs" dxfId="2055" priority="2090" operator="equal">
      <formula>" "</formula>
    </cfRule>
    <cfRule type="expression" dxfId="2054" priority="2091">
      <formula>OR(AK32="Sa",AK32="Di",AM32="F")</formula>
    </cfRule>
    <cfRule type="expression" dxfId="2053" priority="2092">
      <formula>AL32&lt;&gt;""</formula>
    </cfRule>
  </conditionalFormatting>
  <conditionalFormatting sqref="AP34">
    <cfRule type="cellIs" dxfId="2052" priority="2080" operator="equal">
      <formula>" "</formula>
    </cfRule>
    <cfRule type="expression" dxfId="2051" priority="2086">
      <formula>OR(AK34="Sa",AK34="Di",AM34="F")</formula>
    </cfRule>
    <cfRule type="expression" dxfId="2050" priority="2087">
      <formula>AK34&lt;&gt;""</formula>
    </cfRule>
  </conditionalFormatting>
  <conditionalFormatting sqref="AN34">
    <cfRule type="cellIs" dxfId="2049" priority="2084" operator="equal">
      <formula>" "</formula>
    </cfRule>
    <cfRule type="expression" dxfId="2048" priority="2085">
      <formula>OR(AK34="Sa",AK34="Di",AM34="F")</formula>
    </cfRule>
    <cfRule type="expression" dxfId="2047" priority="2088">
      <formula>AK34&lt;&gt;""</formula>
    </cfRule>
  </conditionalFormatting>
  <conditionalFormatting sqref="AO34">
    <cfRule type="cellIs" dxfId="2046" priority="2081" operator="equal">
      <formula>" "</formula>
    </cfRule>
    <cfRule type="expression" dxfId="2045" priority="2082">
      <formula>OR(AK34="Sa",AK34="Di",AM34="F")</formula>
    </cfRule>
    <cfRule type="expression" dxfId="2044" priority="2083">
      <formula>AL34&lt;&gt;""</formula>
    </cfRule>
  </conditionalFormatting>
  <conditionalFormatting sqref="AP36">
    <cfRule type="cellIs" dxfId="2043" priority="2071" operator="equal">
      <formula>" "</formula>
    </cfRule>
    <cfRule type="expression" dxfId="2042" priority="2077">
      <formula>OR(AK36="Sa",AK36="Di",AM36="F")</formula>
    </cfRule>
    <cfRule type="expression" dxfId="2041" priority="2078">
      <formula>AK36&lt;&gt;""</formula>
    </cfRule>
  </conditionalFormatting>
  <conditionalFormatting sqref="AN36">
    <cfRule type="cellIs" dxfId="2040" priority="2075" operator="equal">
      <formula>" "</formula>
    </cfRule>
    <cfRule type="expression" dxfId="2039" priority="2076">
      <formula>OR(AK36="Sa",AK36="Di",AM36="F")</formula>
    </cfRule>
    <cfRule type="expression" dxfId="2038" priority="2079">
      <formula>AK36&lt;&gt;""</formula>
    </cfRule>
  </conditionalFormatting>
  <conditionalFormatting sqref="AO36">
    <cfRule type="cellIs" dxfId="2037" priority="2072" operator="equal">
      <formula>" "</formula>
    </cfRule>
    <cfRule type="expression" dxfId="2036" priority="2073">
      <formula>OR(AK36="Sa",AK36="Di",AM36="F")</formula>
    </cfRule>
    <cfRule type="expression" dxfId="2035" priority="2074">
      <formula>AL36&lt;&gt;""</formula>
    </cfRule>
  </conditionalFormatting>
  <conditionalFormatting sqref="AP38">
    <cfRule type="cellIs" dxfId="2034" priority="2062" operator="equal">
      <formula>" "</formula>
    </cfRule>
    <cfRule type="expression" dxfId="2033" priority="2068">
      <formula>OR(AK38="Sa",AK38="Di",AM38="F")</formula>
    </cfRule>
    <cfRule type="expression" dxfId="2032" priority="2069">
      <formula>AK38&lt;&gt;""</formula>
    </cfRule>
  </conditionalFormatting>
  <conditionalFormatting sqref="AN38">
    <cfRule type="cellIs" dxfId="2031" priority="2066" operator="equal">
      <formula>" "</formula>
    </cfRule>
    <cfRule type="expression" dxfId="2030" priority="2067">
      <formula>OR(AK38="Sa",AK38="Di",AM38="F")</formula>
    </cfRule>
    <cfRule type="expression" dxfId="2029" priority="2070">
      <formula>AK38&lt;&gt;""</formula>
    </cfRule>
  </conditionalFormatting>
  <conditionalFormatting sqref="AO38">
    <cfRule type="cellIs" dxfId="2028" priority="2063" operator="equal">
      <formula>" "</formula>
    </cfRule>
    <cfRule type="expression" dxfId="2027" priority="2064">
      <formula>OR(AK38="Sa",AK38="Di",AM38="F")</formula>
    </cfRule>
    <cfRule type="expression" dxfId="2026" priority="2065">
      <formula>AL38&lt;&gt;""</formula>
    </cfRule>
  </conditionalFormatting>
  <conditionalFormatting sqref="AP40">
    <cfRule type="cellIs" dxfId="2025" priority="2053" operator="equal">
      <formula>" "</formula>
    </cfRule>
    <cfRule type="expression" dxfId="2024" priority="2059">
      <formula>OR(AK40="Sa",AK40="Di",AM40="F")</formula>
    </cfRule>
    <cfRule type="expression" dxfId="2023" priority="2060">
      <formula>AK40&lt;&gt;""</formula>
    </cfRule>
  </conditionalFormatting>
  <conditionalFormatting sqref="AN40">
    <cfRule type="cellIs" dxfId="2022" priority="2057" operator="equal">
      <formula>" "</formula>
    </cfRule>
    <cfRule type="expression" dxfId="2021" priority="2058">
      <formula>OR(AK40="Sa",AK40="Di",AM40="F")</formula>
    </cfRule>
    <cfRule type="expression" dxfId="2020" priority="2061">
      <formula>AK40&lt;&gt;""</formula>
    </cfRule>
  </conditionalFormatting>
  <conditionalFormatting sqref="AO40">
    <cfRule type="cellIs" dxfId="2019" priority="2054" operator="equal">
      <formula>" "</formula>
    </cfRule>
    <cfRule type="expression" dxfId="2018" priority="2055">
      <formula>OR(AK40="Sa",AK40="Di",AM40="F")</formula>
    </cfRule>
    <cfRule type="expression" dxfId="2017" priority="2056">
      <formula>AL40&lt;&gt;""</formula>
    </cfRule>
  </conditionalFormatting>
  <conditionalFormatting sqref="AP42">
    <cfRule type="cellIs" dxfId="2016" priority="2044" operator="equal">
      <formula>" "</formula>
    </cfRule>
    <cfRule type="expression" dxfId="2015" priority="2050">
      <formula>OR(AK42="Sa",AK42="Di",AM42="F")</formula>
    </cfRule>
    <cfRule type="expression" dxfId="2014" priority="2051">
      <formula>AK42&lt;&gt;""</formula>
    </cfRule>
  </conditionalFormatting>
  <conditionalFormatting sqref="AN42">
    <cfRule type="cellIs" dxfId="2013" priority="2048" operator="equal">
      <formula>" "</formula>
    </cfRule>
    <cfRule type="expression" dxfId="2012" priority="2049">
      <formula>OR(AK42="Sa",AK42="Di",AM42="F")</formula>
    </cfRule>
    <cfRule type="expression" dxfId="2011" priority="2052">
      <formula>AK42&lt;&gt;""</formula>
    </cfRule>
  </conditionalFormatting>
  <conditionalFormatting sqref="AO42">
    <cfRule type="cellIs" dxfId="2010" priority="2045" operator="equal">
      <formula>" "</formula>
    </cfRule>
    <cfRule type="expression" dxfId="2009" priority="2046">
      <formula>OR(AK42="Sa",AK42="Di",AM42="F")</formula>
    </cfRule>
    <cfRule type="expression" dxfId="2008" priority="2047">
      <formula>AL42&lt;&gt;""</formula>
    </cfRule>
  </conditionalFormatting>
  <conditionalFormatting sqref="AP44">
    <cfRule type="cellIs" dxfId="2007" priority="2035" operator="equal">
      <formula>" "</formula>
    </cfRule>
    <cfRule type="expression" dxfId="2006" priority="2041">
      <formula>OR(AK44="Sa",AK44="Di",AM44="F")</formula>
    </cfRule>
    <cfRule type="expression" dxfId="2005" priority="2042">
      <formula>AK44&lt;&gt;""</formula>
    </cfRule>
  </conditionalFormatting>
  <conditionalFormatting sqref="AN44">
    <cfRule type="cellIs" dxfId="2004" priority="2039" operator="equal">
      <formula>" "</formula>
    </cfRule>
    <cfRule type="expression" dxfId="2003" priority="2040">
      <formula>OR(AK44="Sa",AK44="Di",AM44="F")</formula>
    </cfRule>
    <cfRule type="expression" dxfId="2002" priority="2043">
      <formula>AK44&lt;&gt;""</formula>
    </cfRule>
  </conditionalFormatting>
  <conditionalFormatting sqref="AO44">
    <cfRule type="cellIs" dxfId="2001" priority="2036" operator="equal">
      <formula>" "</formula>
    </cfRule>
    <cfRule type="expression" dxfId="2000" priority="2037">
      <formula>OR(AK44="Sa",AK44="Di",AM44="F")</formula>
    </cfRule>
    <cfRule type="expression" dxfId="1999" priority="2038">
      <formula>AL44&lt;&gt;""</formula>
    </cfRule>
  </conditionalFormatting>
  <conditionalFormatting sqref="AP50">
    <cfRule type="cellIs" dxfId="1998" priority="2008" operator="equal">
      <formula>" "</formula>
    </cfRule>
    <cfRule type="expression" dxfId="1997" priority="2014">
      <formula>OR(AK50="Sa",AK50="Di",AM50="F")</formula>
    </cfRule>
    <cfRule type="expression" dxfId="1996" priority="2015">
      <formula>AK50&lt;&gt;""</formula>
    </cfRule>
  </conditionalFormatting>
  <conditionalFormatting sqref="AN50">
    <cfRule type="cellIs" dxfId="1995" priority="2012" operator="equal">
      <formula>" "</formula>
    </cfRule>
    <cfRule type="expression" dxfId="1994" priority="2013">
      <formula>OR(AK50="Sa",AK50="Di",AM50="F")</formula>
    </cfRule>
    <cfRule type="expression" dxfId="1993" priority="2016">
      <formula>AK50&lt;&gt;""</formula>
    </cfRule>
  </conditionalFormatting>
  <conditionalFormatting sqref="AO50">
    <cfRule type="cellIs" dxfId="1992" priority="2009" operator="equal">
      <formula>" "</formula>
    </cfRule>
    <cfRule type="expression" dxfId="1991" priority="2010">
      <formula>OR(AK50="Sa",AK50="Di",AM50="F")</formula>
    </cfRule>
    <cfRule type="expression" dxfId="1990" priority="2011">
      <formula>AL50&lt;&gt;""</formula>
    </cfRule>
  </conditionalFormatting>
  <conditionalFormatting sqref="AP52">
    <cfRule type="cellIs" dxfId="1989" priority="1999" operator="equal">
      <formula>" "</formula>
    </cfRule>
    <cfRule type="expression" dxfId="1988" priority="2005">
      <formula>OR(AK52="Sa",AK52="Di",AM52="F")</formula>
    </cfRule>
    <cfRule type="expression" dxfId="1987" priority="2006">
      <formula>AK52&lt;&gt;""</formula>
    </cfRule>
  </conditionalFormatting>
  <conditionalFormatting sqref="AN52">
    <cfRule type="cellIs" dxfId="1986" priority="2003" operator="equal">
      <formula>" "</formula>
    </cfRule>
    <cfRule type="expression" dxfId="1985" priority="2004">
      <formula>OR(AK52="Sa",AK52="Di",AM52="F")</formula>
    </cfRule>
    <cfRule type="expression" dxfId="1984" priority="2007">
      <formula>AK52&lt;&gt;""</formula>
    </cfRule>
  </conditionalFormatting>
  <conditionalFormatting sqref="AO52">
    <cfRule type="cellIs" dxfId="1983" priority="2000" operator="equal">
      <formula>" "</formula>
    </cfRule>
    <cfRule type="expression" dxfId="1982" priority="2001">
      <formula>OR(AK52="Sa",AK52="Di",AM52="F")</formula>
    </cfRule>
    <cfRule type="expression" dxfId="1981" priority="2002">
      <formula>AL52&lt;&gt;""</formula>
    </cfRule>
  </conditionalFormatting>
  <conditionalFormatting sqref="AP54">
    <cfRule type="cellIs" dxfId="1980" priority="1990" operator="equal">
      <formula>" "</formula>
    </cfRule>
    <cfRule type="expression" dxfId="1979" priority="1996">
      <formula>OR(AK54="Sa",AK54="Di",AM54="F")</formula>
    </cfRule>
    <cfRule type="expression" dxfId="1978" priority="1997">
      <formula>AK54&lt;&gt;""</formula>
    </cfRule>
  </conditionalFormatting>
  <conditionalFormatting sqref="AN54">
    <cfRule type="cellIs" dxfId="1977" priority="1994" operator="equal">
      <formula>" "</formula>
    </cfRule>
    <cfRule type="expression" dxfId="1976" priority="1995">
      <formula>OR(AK54="Sa",AK54="Di",AM54="F")</formula>
    </cfRule>
    <cfRule type="expression" dxfId="1975" priority="1998">
      <formula>AK54&lt;&gt;""</formula>
    </cfRule>
  </conditionalFormatting>
  <conditionalFormatting sqref="AO54">
    <cfRule type="cellIs" dxfId="1974" priority="1991" operator="equal">
      <formula>" "</formula>
    </cfRule>
    <cfRule type="expression" dxfId="1973" priority="1992">
      <formula>OR(AK54="Sa",AK54="Di",AM54="F")</formula>
    </cfRule>
    <cfRule type="expression" dxfId="1972" priority="1993">
      <formula>AL54&lt;&gt;""</formula>
    </cfRule>
  </conditionalFormatting>
  <conditionalFormatting sqref="AP56">
    <cfRule type="cellIs" dxfId="1971" priority="1981" operator="equal">
      <formula>" "</formula>
    </cfRule>
    <cfRule type="expression" dxfId="1970" priority="1987">
      <formula>OR(AK56="Sa",AK56="Di",AM56="F")</formula>
    </cfRule>
    <cfRule type="expression" dxfId="1969" priority="1988">
      <formula>AK56&lt;&gt;""</formula>
    </cfRule>
  </conditionalFormatting>
  <conditionalFormatting sqref="AN56">
    <cfRule type="cellIs" dxfId="1968" priority="1985" operator="equal">
      <formula>" "</formula>
    </cfRule>
    <cfRule type="expression" dxfId="1967" priority="1986">
      <formula>OR(AK56="Sa",AK56="Di",AM56="F")</formula>
    </cfRule>
    <cfRule type="expression" dxfId="1966" priority="1989">
      <formula>AK56&lt;&gt;""</formula>
    </cfRule>
  </conditionalFormatting>
  <conditionalFormatting sqref="AO56">
    <cfRule type="cellIs" dxfId="1965" priority="1982" operator="equal">
      <formula>" "</formula>
    </cfRule>
    <cfRule type="expression" dxfId="1964" priority="1983">
      <formula>OR(AK56="Sa",AK56="Di",AM56="F")</formula>
    </cfRule>
    <cfRule type="expression" dxfId="1963" priority="1984">
      <formula>AL56&lt;&gt;""</formula>
    </cfRule>
  </conditionalFormatting>
  <conditionalFormatting sqref="AP58">
    <cfRule type="cellIs" dxfId="1962" priority="1972" operator="equal">
      <formula>" "</formula>
    </cfRule>
    <cfRule type="expression" dxfId="1961" priority="1978">
      <formula>OR(AK58="Sa",AK58="Di",AM58="F")</formula>
    </cfRule>
    <cfRule type="expression" dxfId="1960" priority="1979">
      <formula>AK58&lt;&gt;""</formula>
    </cfRule>
  </conditionalFormatting>
  <conditionalFormatting sqref="AN58">
    <cfRule type="cellIs" dxfId="1959" priority="1976" operator="equal">
      <formula>" "</formula>
    </cfRule>
    <cfRule type="expression" dxfId="1958" priority="1977">
      <formula>OR(AK58="Sa",AK58="Di",AM58="F")</formula>
    </cfRule>
    <cfRule type="expression" dxfId="1957" priority="1980">
      <formula>AK58&lt;&gt;""</formula>
    </cfRule>
  </conditionalFormatting>
  <conditionalFormatting sqref="AO58">
    <cfRule type="cellIs" dxfId="1956" priority="1973" operator="equal">
      <formula>" "</formula>
    </cfRule>
    <cfRule type="expression" dxfId="1955" priority="1974">
      <formula>OR(AK58="Sa",AK58="Di",AM58="F")</formula>
    </cfRule>
    <cfRule type="expression" dxfId="1954" priority="1975">
      <formula>AL58&lt;&gt;""</formula>
    </cfRule>
  </conditionalFormatting>
  <conditionalFormatting sqref="AP60">
    <cfRule type="cellIs" dxfId="1953" priority="1963" operator="equal">
      <formula>" "</formula>
    </cfRule>
    <cfRule type="expression" dxfId="1952" priority="1969">
      <formula>OR(AK60="Sa",AK60="Di",AM60="F")</formula>
    </cfRule>
    <cfRule type="expression" dxfId="1951" priority="1970">
      <formula>AK60&lt;&gt;""</formula>
    </cfRule>
  </conditionalFormatting>
  <conditionalFormatting sqref="AN60">
    <cfRule type="cellIs" dxfId="1950" priority="1967" operator="equal">
      <formula>" "</formula>
    </cfRule>
    <cfRule type="expression" dxfId="1949" priority="1968">
      <formula>OR(AK60="Sa",AK60="Di",AM60="F")</formula>
    </cfRule>
    <cfRule type="expression" dxfId="1948" priority="1971">
      <formula>AK60&lt;&gt;""</formula>
    </cfRule>
  </conditionalFormatting>
  <conditionalFormatting sqref="AO60">
    <cfRule type="cellIs" dxfId="1947" priority="1964" operator="equal">
      <formula>" "</formula>
    </cfRule>
    <cfRule type="expression" dxfId="1946" priority="1965">
      <formula>OR(AK60="Sa",AK60="Di",AM60="F")</formula>
    </cfRule>
    <cfRule type="expression" dxfId="1945" priority="1966">
      <formula>AL60&lt;&gt;""</formula>
    </cfRule>
  </conditionalFormatting>
  <conditionalFormatting sqref="AP62">
    <cfRule type="cellIs" dxfId="1944" priority="1954" operator="equal">
      <formula>" "</formula>
    </cfRule>
    <cfRule type="expression" dxfId="1943" priority="1960">
      <formula>OR(AK62="Sa",AK62="Di",AM62="F")</formula>
    </cfRule>
    <cfRule type="expression" dxfId="1942" priority="1961">
      <formula>AK62&lt;&gt;""</formula>
    </cfRule>
  </conditionalFormatting>
  <conditionalFormatting sqref="AN62">
    <cfRule type="cellIs" dxfId="1941" priority="1958" operator="equal">
      <formula>" "</formula>
    </cfRule>
    <cfRule type="expression" dxfId="1940" priority="1959">
      <formula>OR(AK62="Sa",AK62="Di",AM62="F")</formula>
    </cfRule>
    <cfRule type="expression" dxfId="1939" priority="1962">
      <formula>AK62&lt;&gt;""</formula>
    </cfRule>
  </conditionalFormatting>
  <conditionalFormatting sqref="AO62">
    <cfRule type="cellIs" dxfId="1938" priority="1955" operator="equal">
      <formula>" "</formula>
    </cfRule>
    <cfRule type="expression" dxfId="1937" priority="1956">
      <formula>OR(AK62="Sa",AK62="Di",AM62="F")</formula>
    </cfRule>
    <cfRule type="expression" dxfId="1936" priority="1957">
      <formula>AL62&lt;&gt;""</formula>
    </cfRule>
  </conditionalFormatting>
  <conditionalFormatting sqref="AP64">
    <cfRule type="cellIs" dxfId="1935" priority="1945" operator="equal">
      <formula>" "</formula>
    </cfRule>
    <cfRule type="expression" dxfId="1934" priority="1951">
      <formula>OR(AK64="Sa",AK64="Di",AM64="F")</formula>
    </cfRule>
    <cfRule type="expression" dxfId="1933" priority="1952">
      <formula>AK64&lt;&gt;""</formula>
    </cfRule>
  </conditionalFormatting>
  <conditionalFormatting sqref="AN64">
    <cfRule type="cellIs" dxfId="1932" priority="1949" operator="equal">
      <formula>" "</formula>
    </cfRule>
    <cfRule type="expression" dxfId="1931" priority="1950">
      <formula>OR(AK64="Sa",AK64="Di",AM64="F")</formula>
    </cfRule>
    <cfRule type="expression" dxfId="1930" priority="1953">
      <formula>AK64&lt;&gt;""</formula>
    </cfRule>
  </conditionalFormatting>
  <conditionalFormatting sqref="AO64">
    <cfRule type="cellIs" dxfId="1929" priority="1946" operator="equal">
      <formula>" "</formula>
    </cfRule>
    <cfRule type="expression" dxfId="1928" priority="1947">
      <formula>OR(AK64="Sa",AK64="Di",AM64="F")</formula>
    </cfRule>
    <cfRule type="expression" dxfId="1927" priority="1948">
      <formula>AL64&lt;&gt;""</formula>
    </cfRule>
  </conditionalFormatting>
  <conditionalFormatting sqref="AP66">
    <cfRule type="cellIs" dxfId="1926" priority="1936" operator="equal">
      <formula>" "</formula>
    </cfRule>
    <cfRule type="expression" dxfId="1925" priority="1942">
      <formula>OR(AK66="Sa",AK66="Di",AM66="F")</formula>
    </cfRule>
    <cfRule type="expression" dxfId="1924" priority="1943">
      <formula>AK66&lt;&gt;""</formula>
    </cfRule>
  </conditionalFormatting>
  <conditionalFormatting sqref="AN66">
    <cfRule type="cellIs" dxfId="1923" priority="1940" operator="equal">
      <formula>" "</formula>
    </cfRule>
    <cfRule type="expression" dxfId="1922" priority="1941">
      <formula>OR(AK66="Sa",AK66="Di",AM66="F")</formula>
    </cfRule>
    <cfRule type="expression" dxfId="1921" priority="1944">
      <formula>AK66&lt;&gt;""</formula>
    </cfRule>
  </conditionalFormatting>
  <conditionalFormatting sqref="AO66">
    <cfRule type="cellIs" dxfId="1920" priority="1937" operator="equal">
      <formula>" "</formula>
    </cfRule>
    <cfRule type="expression" dxfId="1919" priority="1938">
      <formula>OR(AK66="Sa",AK66="Di",AM66="F")</formula>
    </cfRule>
    <cfRule type="expression" dxfId="1918" priority="1939">
      <formula>AL66&lt;&gt;""</formula>
    </cfRule>
  </conditionalFormatting>
  <conditionalFormatting sqref="AW6">
    <cfRule type="cellIs" dxfId="1917" priority="1927" operator="equal">
      <formula>" "</formula>
    </cfRule>
    <cfRule type="expression" dxfId="1916" priority="1933">
      <formula>OR(AR6="Sa",AR6="Di",AT6="F")</formula>
    </cfRule>
    <cfRule type="expression" dxfId="1915" priority="1934">
      <formula>AR6&lt;&gt;""</formula>
    </cfRule>
  </conditionalFormatting>
  <conditionalFormatting sqref="AU6">
    <cfRule type="cellIs" dxfId="1914" priority="1931" operator="equal">
      <formula>" "</formula>
    </cfRule>
    <cfRule type="expression" dxfId="1913" priority="1932">
      <formula>OR(AR6="Sa",AR6="Di",AT6="F")</formula>
    </cfRule>
    <cfRule type="expression" dxfId="1912" priority="1935">
      <formula>AR6&lt;&gt;""</formula>
    </cfRule>
  </conditionalFormatting>
  <conditionalFormatting sqref="AV6">
    <cfRule type="cellIs" dxfId="1911" priority="1928" operator="equal">
      <formula>" "</formula>
    </cfRule>
    <cfRule type="expression" dxfId="1910" priority="1929">
      <formula>OR(AR6="Sa",AR6="Di",AT6="F")</formula>
    </cfRule>
    <cfRule type="expression" dxfId="1909" priority="1930">
      <formula>AS6&lt;&gt;""</formula>
    </cfRule>
  </conditionalFormatting>
  <conditionalFormatting sqref="AW8">
    <cfRule type="cellIs" dxfId="1908" priority="1918" operator="equal">
      <formula>" "</formula>
    </cfRule>
    <cfRule type="expression" dxfId="1907" priority="1924">
      <formula>OR(AR8="Sa",AR8="Di",AT8="F")</formula>
    </cfRule>
    <cfRule type="expression" dxfId="1906" priority="1925">
      <formula>AR8&lt;&gt;""</formula>
    </cfRule>
  </conditionalFormatting>
  <conditionalFormatting sqref="AU8">
    <cfRule type="cellIs" dxfId="1905" priority="1922" operator="equal">
      <formula>" "</formula>
    </cfRule>
    <cfRule type="expression" dxfId="1904" priority="1923">
      <formula>OR(AR8="Sa",AR8="Di",AT8="F")</formula>
    </cfRule>
    <cfRule type="expression" dxfId="1903" priority="1926">
      <formula>AR8&lt;&gt;""</formula>
    </cfRule>
  </conditionalFormatting>
  <conditionalFormatting sqref="AV8">
    <cfRule type="cellIs" dxfId="1902" priority="1919" operator="equal">
      <formula>" "</formula>
    </cfRule>
    <cfRule type="expression" dxfId="1901" priority="1920">
      <formula>OR(AR8="Sa",AR8="Di",AT8="F")</formula>
    </cfRule>
    <cfRule type="expression" dxfId="1900" priority="1921">
      <formula>AS8&lt;&gt;""</formula>
    </cfRule>
  </conditionalFormatting>
  <conditionalFormatting sqref="AW10">
    <cfRule type="cellIs" dxfId="1899" priority="1909" operator="equal">
      <formula>" "</formula>
    </cfRule>
    <cfRule type="expression" dxfId="1898" priority="1915">
      <formula>OR(AR10="Sa",AR10="Di",AT10="F")</formula>
    </cfRule>
    <cfRule type="expression" dxfId="1897" priority="1916">
      <formula>AR10&lt;&gt;""</formula>
    </cfRule>
  </conditionalFormatting>
  <conditionalFormatting sqref="AU10">
    <cfRule type="cellIs" dxfId="1896" priority="1913" operator="equal">
      <formula>" "</formula>
    </cfRule>
    <cfRule type="expression" dxfId="1895" priority="1914">
      <formula>OR(AR10="Sa",AR10="Di",AT10="F")</formula>
    </cfRule>
    <cfRule type="expression" dxfId="1894" priority="1917">
      <formula>AR10&lt;&gt;""</formula>
    </cfRule>
  </conditionalFormatting>
  <conditionalFormatting sqref="AV10">
    <cfRule type="cellIs" dxfId="1893" priority="1910" operator="equal">
      <formula>" "</formula>
    </cfRule>
    <cfRule type="expression" dxfId="1892" priority="1911">
      <formula>OR(AR10="Sa",AR10="Di",AT10="F")</formula>
    </cfRule>
    <cfRule type="expression" dxfId="1891" priority="1912">
      <formula>AS10&lt;&gt;""</formula>
    </cfRule>
  </conditionalFormatting>
  <conditionalFormatting sqref="AW12">
    <cfRule type="cellIs" dxfId="1890" priority="1900" operator="equal">
      <formula>" "</formula>
    </cfRule>
    <cfRule type="expression" dxfId="1889" priority="1906">
      <formula>OR(AR12="Sa",AR12="Di",AT12="F")</formula>
    </cfRule>
    <cfRule type="expression" dxfId="1888" priority="1907">
      <formula>AR12&lt;&gt;""</formula>
    </cfRule>
  </conditionalFormatting>
  <conditionalFormatting sqref="AU12">
    <cfRule type="cellIs" dxfId="1887" priority="1904" operator="equal">
      <formula>" "</formula>
    </cfRule>
    <cfRule type="expression" dxfId="1886" priority="1905">
      <formula>OR(AR12="Sa",AR12="Di",AT12="F")</formula>
    </cfRule>
    <cfRule type="expression" dxfId="1885" priority="1908">
      <formula>AR12&lt;&gt;""</formula>
    </cfRule>
  </conditionalFormatting>
  <conditionalFormatting sqref="AV12">
    <cfRule type="cellIs" dxfId="1884" priority="1901" operator="equal">
      <formula>" "</formula>
    </cfRule>
    <cfRule type="expression" dxfId="1883" priority="1902">
      <formula>OR(AR12="Sa",AR12="Di",AT12="F")</formula>
    </cfRule>
    <cfRule type="expression" dxfId="1882" priority="1903">
      <formula>AS12&lt;&gt;""</formula>
    </cfRule>
  </conditionalFormatting>
  <conditionalFormatting sqref="AW14">
    <cfRule type="cellIs" dxfId="1881" priority="1891" operator="equal">
      <formula>" "</formula>
    </cfRule>
    <cfRule type="expression" dxfId="1880" priority="1897">
      <formula>OR(AR14="Sa",AR14="Di",AT14="F")</formula>
    </cfRule>
    <cfRule type="expression" dxfId="1879" priority="1898">
      <formula>AR14&lt;&gt;""</formula>
    </cfRule>
  </conditionalFormatting>
  <conditionalFormatting sqref="AU14">
    <cfRule type="cellIs" dxfId="1878" priority="1895" operator="equal">
      <formula>" "</formula>
    </cfRule>
    <cfRule type="expression" dxfId="1877" priority="1896">
      <formula>OR(AR14="Sa",AR14="Di",AT14="F")</formula>
    </cfRule>
    <cfRule type="expression" dxfId="1876" priority="1899">
      <formula>AR14&lt;&gt;""</formula>
    </cfRule>
  </conditionalFormatting>
  <conditionalFormatting sqref="AV14">
    <cfRule type="cellIs" dxfId="1875" priority="1892" operator="equal">
      <formula>" "</formula>
    </cfRule>
    <cfRule type="expression" dxfId="1874" priority="1893">
      <formula>OR(AR14="Sa",AR14="Di",AT14="F")</formula>
    </cfRule>
    <cfRule type="expression" dxfId="1873" priority="1894">
      <formula>AS14&lt;&gt;""</formula>
    </cfRule>
  </conditionalFormatting>
  <conditionalFormatting sqref="AW16">
    <cfRule type="cellIs" dxfId="1872" priority="1882" operator="equal">
      <formula>" "</formula>
    </cfRule>
    <cfRule type="expression" dxfId="1871" priority="1888">
      <formula>OR(AR16="Sa",AR16="Di",AT16="F")</formula>
    </cfRule>
    <cfRule type="expression" dxfId="1870" priority="1889">
      <formula>AR16&lt;&gt;""</formula>
    </cfRule>
  </conditionalFormatting>
  <conditionalFormatting sqref="AU16">
    <cfRule type="cellIs" dxfId="1869" priority="1886" operator="equal">
      <formula>" "</formula>
    </cfRule>
    <cfRule type="expression" dxfId="1868" priority="1887">
      <formula>OR(AR16="Sa",AR16="Di",AT16="F")</formula>
    </cfRule>
    <cfRule type="expression" dxfId="1867" priority="1890">
      <formula>AR16&lt;&gt;""</formula>
    </cfRule>
  </conditionalFormatting>
  <conditionalFormatting sqref="AV16">
    <cfRule type="cellIs" dxfId="1866" priority="1883" operator="equal">
      <formula>" "</formula>
    </cfRule>
    <cfRule type="expression" dxfId="1865" priority="1884">
      <formula>OR(AR16="Sa",AR16="Di",AT16="F")</formula>
    </cfRule>
    <cfRule type="expression" dxfId="1864" priority="1885">
      <formula>AS16&lt;&gt;""</formula>
    </cfRule>
  </conditionalFormatting>
  <conditionalFormatting sqref="AW18">
    <cfRule type="cellIs" dxfId="1863" priority="1873" operator="equal">
      <formula>" "</formula>
    </cfRule>
    <cfRule type="expression" dxfId="1862" priority="1879">
      <formula>OR(AR18="Sa",AR18="Di",AT18="F")</formula>
    </cfRule>
    <cfRule type="expression" dxfId="1861" priority="1880">
      <formula>AR18&lt;&gt;""</formula>
    </cfRule>
  </conditionalFormatting>
  <conditionalFormatting sqref="AU18">
    <cfRule type="cellIs" dxfId="1860" priority="1877" operator="equal">
      <formula>" "</formula>
    </cfRule>
    <cfRule type="expression" dxfId="1859" priority="1878">
      <formula>OR(AR18="Sa",AR18="Di",AT18="F")</formula>
    </cfRule>
    <cfRule type="expression" dxfId="1858" priority="1881">
      <formula>AR18&lt;&gt;""</formula>
    </cfRule>
  </conditionalFormatting>
  <conditionalFormatting sqref="AV18">
    <cfRule type="cellIs" dxfId="1857" priority="1874" operator="equal">
      <formula>" "</formula>
    </cfRule>
    <cfRule type="expression" dxfId="1856" priority="1875">
      <formula>OR(AR18="Sa",AR18="Di",AT18="F")</formula>
    </cfRule>
    <cfRule type="expression" dxfId="1855" priority="1876">
      <formula>AS18&lt;&gt;""</formula>
    </cfRule>
  </conditionalFormatting>
  <conditionalFormatting sqref="AW20">
    <cfRule type="cellIs" dxfId="1854" priority="1864" operator="equal">
      <formula>" "</formula>
    </cfRule>
    <cfRule type="expression" dxfId="1853" priority="1870">
      <formula>OR(AR20="Sa",AR20="Di",AT20="F")</formula>
    </cfRule>
    <cfRule type="expression" dxfId="1852" priority="1871">
      <formula>AR20&lt;&gt;""</formula>
    </cfRule>
  </conditionalFormatting>
  <conditionalFormatting sqref="AU20">
    <cfRule type="cellIs" dxfId="1851" priority="1868" operator="equal">
      <formula>" "</formula>
    </cfRule>
    <cfRule type="expression" dxfId="1850" priority="1869">
      <formula>OR(AR20="Sa",AR20="Di",AT20="F")</formula>
    </cfRule>
    <cfRule type="expression" dxfId="1849" priority="1872">
      <formula>AR20&lt;&gt;""</formula>
    </cfRule>
  </conditionalFormatting>
  <conditionalFormatting sqref="AV20">
    <cfRule type="cellIs" dxfId="1848" priority="1865" operator="equal">
      <formula>" "</formula>
    </cfRule>
    <cfRule type="expression" dxfId="1847" priority="1866">
      <formula>OR(AR20="Sa",AR20="Di",AT20="F")</formula>
    </cfRule>
    <cfRule type="expression" dxfId="1846" priority="1867">
      <formula>AS20&lt;&gt;""</formula>
    </cfRule>
  </conditionalFormatting>
  <conditionalFormatting sqref="AW22">
    <cfRule type="cellIs" dxfId="1845" priority="1855" operator="equal">
      <formula>" "</formula>
    </cfRule>
    <cfRule type="expression" dxfId="1844" priority="1861">
      <formula>OR(AR22="Sa",AR22="Di",AT22="F")</formula>
    </cfRule>
    <cfRule type="expression" dxfId="1843" priority="1862">
      <formula>AR22&lt;&gt;""</formula>
    </cfRule>
  </conditionalFormatting>
  <conditionalFormatting sqref="AU22">
    <cfRule type="cellIs" dxfId="1842" priority="1859" operator="equal">
      <formula>" "</formula>
    </cfRule>
    <cfRule type="expression" dxfId="1841" priority="1860">
      <formula>OR(AR22="Sa",AR22="Di",AT22="F")</formula>
    </cfRule>
    <cfRule type="expression" dxfId="1840" priority="1863">
      <formula>AR22&lt;&gt;""</formula>
    </cfRule>
  </conditionalFormatting>
  <conditionalFormatting sqref="AV22">
    <cfRule type="cellIs" dxfId="1839" priority="1856" operator="equal">
      <formula>" "</formula>
    </cfRule>
    <cfRule type="expression" dxfId="1838" priority="1857">
      <formula>OR(AR22="Sa",AR22="Di",AT22="F")</formula>
    </cfRule>
    <cfRule type="expression" dxfId="1837" priority="1858">
      <formula>AS22&lt;&gt;""</formula>
    </cfRule>
  </conditionalFormatting>
  <conditionalFormatting sqref="AW24">
    <cfRule type="cellIs" dxfId="1836" priority="1846" operator="equal">
      <formula>" "</formula>
    </cfRule>
    <cfRule type="expression" dxfId="1835" priority="1852">
      <formula>OR(AR24="Sa",AR24="Di",AT24="F")</formula>
    </cfRule>
    <cfRule type="expression" dxfId="1834" priority="1853">
      <formula>AR24&lt;&gt;""</formula>
    </cfRule>
  </conditionalFormatting>
  <conditionalFormatting sqref="AU24">
    <cfRule type="cellIs" dxfId="1833" priority="1850" operator="equal">
      <formula>" "</formula>
    </cfRule>
    <cfRule type="expression" dxfId="1832" priority="1851">
      <formula>OR(AR24="Sa",AR24="Di",AT24="F")</formula>
    </cfRule>
    <cfRule type="expression" dxfId="1831" priority="1854">
      <formula>AR24&lt;&gt;""</formula>
    </cfRule>
  </conditionalFormatting>
  <conditionalFormatting sqref="AV24">
    <cfRule type="cellIs" dxfId="1830" priority="1847" operator="equal">
      <formula>" "</formula>
    </cfRule>
    <cfRule type="expression" dxfId="1829" priority="1848">
      <formula>OR(AR24="Sa",AR24="Di",AT24="F")</formula>
    </cfRule>
    <cfRule type="expression" dxfId="1828" priority="1849">
      <formula>AS24&lt;&gt;""</formula>
    </cfRule>
  </conditionalFormatting>
  <conditionalFormatting sqref="AW26">
    <cfRule type="cellIs" dxfId="1827" priority="1837" operator="equal">
      <formula>" "</formula>
    </cfRule>
    <cfRule type="expression" dxfId="1826" priority="1843">
      <formula>OR(AR26="Sa",AR26="Di",AT26="F")</formula>
    </cfRule>
    <cfRule type="expression" dxfId="1825" priority="1844">
      <formula>AR26&lt;&gt;""</formula>
    </cfRule>
  </conditionalFormatting>
  <conditionalFormatting sqref="AU26">
    <cfRule type="cellIs" dxfId="1824" priority="1841" operator="equal">
      <formula>" "</formula>
    </cfRule>
    <cfRule type="expression" dxfId="1823" priority="1842">
      <formula>OR(AR26="Sa",AR26="Di",AT26="F")</formula>
    </cfRule>
    <cfRule type="expression" dxfId="1822" priority="1845">
      <formula>AR26&lt;&gt;""</formula>
    </cfRule>
  </conditionalFormatting>
  <conditionalFormatting sqref="AV26">
    <cfRule type="cellIs" dxfId="1821" priority="1838" operator="equal">
      <formula>" "</formula>
    </cfRule>
    <cfRule type="expression" dxfId="1820" priority="1839">
      <formula>OR(AR26="Sa",AR26="Di",AT26="F")</formula>
    </cfRule>
    <cfRule type="expression" dxfId="1819" priority="1840">
      <formula>AS26&lt;&gt;""</formula>
    </cfRule>
  </conditionalFormatting>
  <conditionalFormatting sqref="AW28">
    <cfRule type="cellIs" dxfId="1818" priority="1828" operator="equal">
      <formula>" "</formula>
    </cfRule>
    <cfRule type="expression" dxfId="1817" priority="1834">
      <formula>OR(AR28="Sa",AR28="Di",AT28="F")</formula>
    </cfRule>
    <cfRule type="expression" dxfId="1816" priority="1835">
      <formula>AR28&lt;&gt;""</formula>
    </cfRule>
  </conditionalFormatting>
  <conditionalFormatting sqref="AU28">
    <cfRule type="cellIs" dxfId="1815" priority="1832" operator="equal">
      <formula>" "</formula>
    </cfRule>
    <cfRule type="expression" dxfId="1814" priority="1833">
      <formula>OR(AR28="Sa",AR28="Di",AT28="F")</formula>
    </cfRule>
    <cfRule type="expression" dxfId="1813" priority="1836">
      <formula>AR28&lt;&gt;""</formula>
    </cfRule>
  </conditionalFormatting>
  <conditionalFormatting sqref="AV28">
    <cfRule type="cellIs" dxfId="1812" priority="1829" operator="equal">
      <formula>" "</formula>
    </cfRule>
    <cfRule type="expression" dxfId="1811" priority="1830">
      <formula>OR(AR28="Sa",AR28="Di",AT28="F")</formula>
    </cfRule>
    <cfRule type="expression" dxfId="1810" priority="1831">
      <formula>AS28&lt;&gt;""</formula>
    </cfRule>
  </conditionalFormatting>
  <conditionalFormatting sqref="AW30">
    <cfRule type="cellIs" dxfId="1809" priority="1819" operator="equal">
      <formula>" "</formula>
    </cfRule>
    <cfRule type="expression" dxfId="1808" priority="1825">
      <formula>OR(AR30="Sa",AR30="Di",AT30="F")</formula>
    </cfRule>
    <cfRule type="expression" dxfId="1807" priority="1826">
      <formula>AR30&lt;&gt;""</formula>
    </cfRule>
  </conditionalFormatting>
  <conditionalFormatting sqref="AU30">
    <cfRule type="cellIs" dxfId="1806" priority="1823" operator="equal">
      <formula>" "</formula>
    </cfRule>
    <cfRule type="expression" dxfId="1805" priority="1824">
      <formula>OR(AR30="Sa",AR30="Di",AT30="F")</formula>
    </cfRule>
    <cfRule type="expression" dxfId="1804" priority="1827">
      <formula>AR30&lt;&gt;""</formula>
    </cfRule>
  </conditionalFormatting>
  <conditionalFormatting sqref="AV30">
    <cfRule type="cellIs" dxfId="1803" priority="1820" operator="equal">
      <formula>" "</formula>
    </cfRule>
    <cfRule type="expression" dxfId="1802" priority="1821">
      <formula>OR(AR30="Sa",AR30="Di",AT30="F")</formula>
    </cfRule>
    <cfRule type="expression" dxfId="1801" priority="1822">
      <formula>AS30&lt;&gt;""</formula>
    </cfRule>
  </conditionalFormatting>
  <conditionalFormatting sqref="AW32">
    <cfRule type="cellIs" dxfId="1800" priority="1810" operator="equal">
      <formula>" "</formula>
    </cfRule>
    <cfRule type="expression" dxfId="1799" priority="1816">
      <formula>OR(AR32="Sa",AR32="Di",AT32="F")</formula>
    </cfRule>
    <cfRule type="expression" dxfId="1798" priority="1817">
      <formula>AR32&lt;&gt;""</formula>
    </cfRule>
  </conditionalFormatting>
  <conditionalFormatting sqref="AU32">
    <cfRule type="cellIs" dxfId="1797" priority="1814" operator="equal">
      <formula>" "</formula>
    </cfRule>
    <cfRule type="expression" dxfId="1796" priority="1815">
      <formula>OR(AR32="Sa",AR32="Di",AT32="F")</formula>
    </cfRule>
    <cfRule type="expression" dxfId="1795" priority="1818">
      <formula>AR32&lt;&gt;""</formula>
    </cfRule>
  </conditionalFormatting>
  <conditionalFormatting sqref="AV32">
    <cfRule type="cellIs" dxfId="1794" priority="1811" operator="equal">
      <formula>" "</formula>
    </cfRule>
    <cfRule type="expression" dxfId="1793" priority="1812">
      <formula>OR(AR32="Sa",AR32="Di",AT32="F")</formula>
    </cfRule>
    <cfRule type="expression" dxfId="1792" priority="1813">
      <formula>AS32&lt;&gt;""</formula>
    </cfRule>
  </conditionalFormatting>
  <conditionalFormatting sqref="AW34">
    <cfRule type="cellIs" dxfId="1791" priority="1801" operator="equal">
      <formula>" "</formula>
    </cfRule>
    <cfRule type="expression" dxfId="1790" priority="1807">
      <formula>OR(AR34="Sa",AR34="Di",AT34="F")</formula>
    </cfRule>
    <cfRule type="expression" dxfId="1789" priority="1808">
      <formula>AR34&lt;&gt;""</formula>
    </cfRule>
  </conditionalFormatting>
  <conditionalFormatting sqref="AU34">
    <cfRule type="cellIs" dxfId="1788" priority="1805" operator="equal">
      <formula>" "</formula>
    </cfRule>
    <cfRule type="expression" dxfId="1787" priority="1806">
      <formula>OR(AR34="Sa",AR34="Di",AT34="F")</formula>
    </cfRule>
    <cfRule type="expression" dxfId="1786" priority="1809">
      <formula>AR34&lt;&gt;""</formula>
    </cfRule>
  </conditionalFormatting>
  <conditionalFormatting sqref="AV34">
    <cfRule type="cellIs" dxfId="1785" priority="1802" operator="equal">
      <formula>" "</formula>
    </cfRule>
    <cfRule type="expression" dxfId="1784" priority="1803">
      <formula>OR(AR34="Sa",AR34="Di",AT34="F")</formula>
    </cfRule>
    <cfRule type="expression" dxfId="1783" priority="1804">
      <formula>AS34&lt;&gt;""</formula>
    </cfRule>
  </conditionalFormatting>
  <conditionalFormatting sqref="AW36">
    <cfRule type="cellIs" dxfId="1782" priority="1792" operator="equal">
      <formula>" "</formula>
    </cfRule>
    <cfRule type="expression" dxfId="1781" priority="1798">
      <formula>OR(AR36="Sa",AR36="Di",AT36="F")</formula>
    </cfRule>
    <cfRule type="expression" dxfId="1780" priority="1799">
      <formula>AR36&lt;&gt;""</formula>
    </cfRule>
  </conditionalFormatting>
  <conditionalFormatting sqref="AU36">
    <cfRule type="cellIs" dxfId="1779" priority="1796" operator="equal">
      <formula>" "</formula>
    </cfRule>
    <cfRule type="expression" dxfId="1778" priority="1797">
      <formula>OR(AR36="Sa",AR36="Di",AT36="F")</formula>
    </cfRule>
    <cfRule type="expression" dxfId="1777" priority="1800">
      <formula>AR36&lt;&gt;""</formula>
    </cfRule>
  </conditionalFormatting>
  <conditionalFormatting sqref="AV36">
    <cfRule type="cellIs" dxfId="1776" priority="1793" operator="equal">
      <formula>" "</formula>
    </cfRule>
    <cfRule type="expression" dxfId="1775" priority="1794">
      <formula>OR(AR36="Sa",AR36="Di",AT36="F")</formula>
    </cfRule>
    <cfRule type="expression" dxfId="1774" priority="1795">
      <formula>AS36&lt;&gt;""</formula>
    </cfRule>
  </conditionalFormatting>
  <conditionalFormatting sqref="AW38">
    <cfRule type="cellIs" dxfId="1773" priority="1783" operator="equal">
      <formula>" "</formula>
    </cfRule>
    <cfRule type="expression" dxfId="1772" priority="1789">
      <formula>OR(AR38="Sa",AR38="Di",AT38="F")</formula>
    </cfRule>
    <cfRule type="expression" dxfId="1771" priority="1790">
      <formula>AR38&lt;&gt;""</formula>
    </cfRule>
  </conditionalFormatting>
  <conditionalFormatting sqref="AU38">
    <cfRule type="cellIs" dxfId="1770" priority="1787" operator="equal">
      <formula>" "</formula>
    </cfRule>
    <cfRule type="expression" dxfId="1769" priority="1788">
      <formula>OR(AR38="Sa",AR38="Di",AT38="F")</formula>
    </cfRule>
    <cfRule type="expression" dxfId="1768" priority="1791">
      <formula>AR38&lt;&gt;""</formula>
    </cfRule>
  </conditionalFormatting>
  <conditionalFormatting sqref="AV38">
    <cfRule type="cellIs" dxfId="1767" priority="1784" operator="equal">
      <formula>" "</formula>
    </cfRule>
    <cfRule type="expression" dxfId="1766" priority="1785">
      <formula>OR(AR38="Sa",AR38="Di",AT38="F")</formula>
    </cfRule>
    <cfRule type="expression" dxfId="1765" priority="1786">
      <formula>AS38&lt;&gt;""</formula>
    </cfRule>
  </conditionalFormatting>
  <conditionalFormatting sqref="AW40">
    <cfRule type="cellIs" dxfId="1764" priority="1774" operator="equal">
      <formula>" "</formula>
    </cfRule>
    <cfRule type="expression" dxfId="1763" priority="1780">
      <formula>OR(AR40="Sa",AR40="Di",AT40="F")</formula>
    </cfRule>
    <cfRule type="expression" dxfId="1762" priority="1781">
      <formula>AR40&lt;&gt;""</formula>
    </cfRule>
  </conditionalFormatting>
  <conditionalFormatting sqref="AU40">
    <cfRule type="cellIs" dxfId="1761" priority="1778" operator="equal">
      <formula>" "</formula>
    </cfRule>
    <cfRule type="expression" dxfId="1760" priority="1779">
      <formula>OR(AR40="Sa",AR40="Di",AT40="F")</formula>
    </cfRule>
    <cfRule type="expression" dxfId="1759" priority="1782">
      <formula>AR40&lt;&gt;""</formula>
    </cfRule>
  </conditionalFormatting>
  <conditionalFormatting sqref="AV40">
    <cfRule type="cellIs" dxfId="1758" priority="1775" operator="equal">
      <formula>" "</formula>
    </cfRule>
    <cfRule type="expression" dxfId="1757" priority="1776">
      <formula>OR(AR40="Sa",AR40="Di",AT40="F")</formula>
    </cfRule>
    <cfRule type="expression" dxfId="1756" priority="1777">
      <formula>AS40&lt;&gt;""</formula>
    </cfRule>
  </conditionalFormatting>
  <conditionalFormatting sqref="AW46">
    <cfRule type="cellIs" dxfId="1755" priority="1747" operator="equal">
      <formula>" "</formula>
    </cfRule>
    <cfRule type="expression" dxfId="1754" priority="1753">
      <formula>OR(AR46="Sa",AR46="Di",AT46="F")</formula>
    </cfRule>
    <cfRule type="expression" dxfId="1753" priority="1754">
      <formula>AR46&lt;&gt;""</formula>
    </cfRule>
  </conditionalFormatting>
  <conditionalFormatting sqref="AU46">
    <cfRule type="cellIs" dxfId="1752" priority="1751" operator="equal">
      <formula>" "</formula>
    </cfRule>
    <cfRule type="expression" dxfId="1751" priority="1752">
      <formula>OR(AR46="Sa",AR46="Di",AT46="F")</formula>
    </cfRule>
    <cfRule type="expression" dxfId="1750" priority="1755">
      <formula>AR46&lt;&gt;""</formula>
    </cfRule>
  </conditionalFormatting>
  <conditionalFormatting sqref="AV46">
    <cfRule type="cellIs" dxfId="1749" priority="1748" operator="equal">
      <formula>" "</formula>
    </cfRule>
    <cfRule type="expression" dxfId="1748" priority="1749">
      <formula>OR(AR46="Sa",AR46="Di",AT46="F")</formula>
    </cfRule>
    <cfRule type="expression" dxfId="1747" priority="1750">
      <formula>AS46&lt;&gt;""</formula>
    </cfRule>
  </conditionalFormatting>
  <conditionalFormatting sqref="AW48">
    <cfRule type="cellIs" dxfId="1746" priority="1738" operator="equal">
      <formula>" "</formula>
    </cfRule>
    <cfRule type="expression" dxfId="1745" priority="1744">
      <formula>OR(AR48="Sa",AR48="Di",AT48="F")</formula>
    </cfRule>
    <cfRule type="expression" dxfId="1744" priority="1745">
      <formula>AR48&lt;&gt;""</formula>
    </cfRule>
  </conditionalFormatting>
  <conditionalFormatting sqref="AU48">
    <cfRule type="cellIs" dxfId="1743" priority="1742" operator="equal">
      <formula>" "</formula>
    </cfRule>
    <cfRule type="expression" dxfId="1742" priority="1743">
      <formula>OR(AR48="Sa",AR48="Di",AT48="F")</formula>
    </cfRule>
    <cfRule type="expression" dxfId="1741" priority="1746">
      <formula>AR48&lt;&gt;""</formula>
    </cfRule>
  </conditionalFormatting>
  <conditionalFormatting sqref="AV48">
    <cfRule type="cellIs" dxfId="1740" priority="1739" operator="equal">
      <formula>" "</formula>
    </cfRule>
    <cfRule type="expression" dxfId="1739" priority="1740">
      <formula>OR(AR48="Sa",AR48="Di",AT48="F")</formula>
    </cfRule>
    <cfRule type="expression" dxfId="1738" priority="1741">
      <formula>AS48&lt;&gt;""</formula>
    </cfRule>
  </conditionalFormatting>
  <conditionalFormatting sqref="AW50">
    <cfRule type="cellIs" dxfId="1737" priority="1729" operator="equal">
      <formula>" "</formula>
    </cfRule>
    <cfRule type="expression" dxfId="1736" priority="1735">
      <formula>OR(AR50="Sa",AR50="Di",AT50="F")</formula>
    </cfRule>
    <cfRule type="expression" dxfId="1735" priority="1736">
      <formula>AR50&lt;&gt;""</formula>
    </cfRule>
  </conditionalFormatting>
  <conditionalFormatting sqref="AU50">
    <cfRule type="cellIs" dxfId="1734" priority="1733" operator="equal">
      <formula>" "</formula>
    </cfRule>
    <cfRule type="expression" dxfId="1733" priority="1734">
      <formula>OR(AR50="Sa",AR50="Di",AT50="F")</formula>
    </cfRule>
    <cfRule type="expression" dxfId="1732" priority="1737">
      <formula>AR50&lt;&gt;""</formula>
    </cfRule>
  </conditionalFormatting>
  <conditionalFormatting sqref="AV50">
    <cfRule type="cellIs" dxfId="1731" priority="1730" operator="equal">
      <formula>" "</formula>
    </cfRule>
    <cfRule type="expression" dxfId="1730" priority="1731">
      <formula>OR(AR50="Sa",AR50="Di",AT50="F")</formula>
    </cfRule>
    <cfRule type="expression" dxfId="1729" priority="1732">
      <formula>AS50&lt;&gt;""</formula>
    </cfRule>
  </conditionalFormatting>
  <conditionalFormatting sqref="AW52">
    <cfRule type="cellIs" dxfId="1728" priority="1720" operator="equal">
      <formula>" "</formula>
    </cfRule>
    <cfRule type="expression" dxfId="1727" priority="1726">
      <formula>OR(AR52="Sa",AR52="Di",AT52="F")</formula>
    </cfRule>
    <cfRule type="expression" dxfId="1726" priority="1727">
      <formula>AR52&lt;&gt;""</formula>
    </cfRule>
  </conditionalFormatting>
  <conditionalFormatting sqref="AU52">
    <cfRule type="cellIs" dxfId="1725" priority="1724" operator="equal">
      <formula>" "</formula>
    </cfRule>
    <cfRule type="expression" dxfId="1724" priority="1725">
      <formula>OR(AR52="Sa",AR52="Di",AT52="F")</formula>
    </cfRule>
    <cfRule type="expression" dxfId="1723" priority="1728">
      <formula>AR52&lt;&gt;""</formula>
    </cfRule>
  </conditionalFormatting>
  <conditionalFormatting sqref="AV52">
    <cfRule type="cellIs" dxfId="1722" priority="1721" operator="equal">
      <formula>" "</formula>
    </cfRule>
    <cfRule type="expression" dxfId="1721" priority="1722">
      <formula>OR(AR52="Sa",AR52="Di",AT52="F")</formula>
    </cfRule>
    <cfRule type="expression" dxfId="1720" priority="1723">
      <formula>AS52&lt;&gt;""</formula>
    </cfRule>
  </conditionalFormatting>
  <conditionalFormatting sqref="AW54">
    <cfRule type="cellIs" dxfId="1719" priority="1711" operator="equal">
      <formula>" "</formula>
    </cfRule>
    <cfRule type="expression" dxfId="1718" priority="1717">
      <formula>OR(AR54="Sa",AR54="Di",AT54="F")</formula>
    </cfRule>
    <cfRule type="expression" dxfId="1717" priority="1718">
      <formula>AR54&lt;&gt;""</formula>
    </cfRule>
  </conditionalFormatting>
  <conditionalFormatting sqref="AU54">
    <cfRule type="cellIs" dxfId="1716" priority="1715" operator="equal">
      <formula>" "</formula>
    </cfRule>
    <cfRule type="expression" dxfId="1715" priority="1716">
      <formula>OR(AR54="Sa",AR54="Di",AT54="F")</formula>
    </cfRule>
    <cfRule type="expression" dxfId="1714" priority="1719">
      <formula>AR54&lt;&gt;""</formula>
    </cfRule>
  </conditionalFormatting>
  <conditionalFormatting sqref="AV54">
    <cfRule type="cellIs" dxfId="1713" priority="1712" operator="equal">
      <formula>" "</formula>
    </cfRule>
    <cfRule type="expression" dxfId="1712" priority="1713">
      <formula>OR(AR54="Sa",AR54="Di",AT54="F")</formula>
    </cfRule>
    <cfRule type="expression" dxfId="1711" priority="1714">
      <formula>AS54&lt;&gt;""</formula>
    </cfRule>
  </conditionalFormatting>
  <conditionalFormatting sqref="AW56">
    <cfRule type="cellIs" dxfId="1710" priority="1702" operator="equal">
      <formula>" "</formula>
    </cfRule>
    <cfRule type="expression" dxfId="1709" priority="1708">
      <formula>OR(AR56="Sa",AR56="Di",AT56="F")</formula>
    </cfRule>
    <cfRule type="expression" dxfId="1708" priority="1709">
      <formula>AR56&lt;&gt;""</formula>
    </cfRule>
  </conditionalFormatting>
  <conditionalFormatting sqref="AU56">
    <cfRule type="cellIs" dxfId="1707" priority="1706" operator="equal">
      <formula>" "</formula>
    </cfRule>
    <cfRule type="expression" dxfId="1706" priority="1707">
      <formula>OR(AR56="Sa",AR56="Di",AT56="F")</formula>
    </cfRule>
    <cfRule type="expression" dxfId="1705" priority="1710">
      <formula>AR56&lt;&gt;""</formula>
    </cfRule>
  </conditionalFormatting>
  <conditionalFormatting sqref="AV56">
    <cfRule type="cellIs" dxfId="1704" priority="1703" operator="equal">
      <formula>" "</formula>
    </cfRule>
    <cfRule type="expression" dxfId="1703" priority="1704">
      <formula>OR(AR56="Sa",AR56="Di",AT56="F")</formula>
    </cfRule>
    <cfRule type="expression" dxfId="1702" priority="1705">
      <formula>AS56&lt;&gt;""</formula>
    </cfRule>
  </conditionalFormatting>
  <conditionalFormatting sqref="AW58">
    <cfRule type="cellIs" dxfId="1701" priority="1693" operator="equal">
      <formula>" "</formula>
    </cfRule>
    <cfRule type="expression" dxfId="1700" priority="1699">
      <formula>OR(AR58="Sa",AR58="Di",AT58="F")</formula>
    </cfRule>
    <cfRule type="expression" dxfId="1699" priority="1700">
      <formula>AR58&lt;&gt;""</formula>
    </cfRule>
  </conditionalFormatting>
  <conditionalFormatting sqref="AU58">
    <cfRule type="cellIs" dxfId="1698" priority="1697" operator="equal">
      <formula>" "</formula>
    </cfRule>
    <cfRule type="expression" dxfId="1697" priority="1698">
      <formula>OR(AR58="Sa",AR58="Di",AT58="F")</formula>
    </cfRule>
    <cfRule type="expression" dxfId="1696" priority="1701">
      <formula>AR58&lt;&gt;""</formula>
    </cfRule>
  </conditionalFormatting>
  <conditionalFormatting sqref="AV58">
    <cfRule type="cellIs" dxfId="1695" priority="1694" operator="equal">
      <formula>" "</formula>
    </cfRule>
    <cfRule type="expression" dxfId="1694" priority="1695">
      <formula>OR(AR58="Sa",AR58="Di",AT58="F")</formula>
    </cfRule>
    <cfRule type="expression" dxfId="1693" priority="1696">
      <formula>AS58&lt;&gt;""</formula>
    </cfRule>
  </conditionalFormatting>
  <conditionalFormatting sqref="AW60">
    <cfRule type="cellIs" dxfId="1692" priority="1684" operator="equal">
      <formula>" "</formula>
    </cfRule>
    <cfRule type="expression" dxfId="1691" priority="1690">
      <formula>OR(AR60="Sa",AR60="Di",AT60="F")</formula>
    </cfRule>
    <cfRule type="expression" dxfId="1690" priority="1691">
      <formula>AR60&lt;&gt;""</formula>
    </cfRule>
  </conditionalFormatting>
  <conditionalFormatting sqref="AU60">
    <cfRule type="cellIs" dxfId="1689" priority="1688" operator="equal">
      <formula>" "</formula>
    </cfRule>
    <cfRule type="expression" dxfId="1688" priority="1689">
      <formula>OR(AR60="Sa",AR60="Di",AT60="F")</formula>
    </cfRule>
    <cfRule type="expression" dxfId="1687" priority="1692">
      <formula>AR60&lt;&gt;""</formula>
    </cfRule>
  </conditionalFormatting>
  <conditionalFormatting sqref="AV60">
    <cfRule type="cellIs" dxfId="1686" priority="1685" operator="equal">
      <formula>" "</formula>
    </cfRule>
    <cfRule type="expression" dxfId="1685" priority="1686">
      <formula>OR(AR60="Sa",AR60="Di",AT60="F")</formula>
    </cfRule>
    <cfRule type="expression" dxfId="1684" priority="1687">
      <formula>AS60&lt;&gt;""</formula>
    </cfRule>
  </conditionalFormatting>
  <conditionalFormatting sqref="AW62">
    <cfRule type="cellIs" dxfId="1683" priority="1675" operator="equal">
      <formula>" "</formula>
    </cfRule>
    <cfRule type="expression" dxfId="1682" priority="1681">
      <formula>OR(AR62="Sa",AR62="Di",AT62="F")</formula>
    </cfRule>
    <cfRule type="expression" dxfId="1681" priority="1682">
      <formula>AR62&lt;&gt;""</formula>
    </cfRule>
  </conditionalFormatting>
  <conditionalFormatting sqref="AU62">
    <cfRule type="cellIs" dxfId="1680" priority="1679" operator="equal">
      <formula>" "</formula>
    </cfRule>
    <cfRule type="expression" dxfId="1679" priority="1680">
      <formula>OR(AR62="Sa",AR62="Di",AT62="F")</formula>
    </cfRule>
    <cfRule type="expression" dxfId="1678" priority="1683">
      <formula>AR62&lt;&gt;""</formula>
    </cfRule>
  </conditionalFormatting>
  <conditionalFormatting sqref="AV62">
    <cfRule type="cellIs" dxfId="1677" priority="1676" operator="equal">
      <formula>" "</formula>
    </cfRule>
    <cfRule type="expression" dxfId="1676" priority="1677">
      <formula>OR(AR62="Sa",AR62="Di",AT62="F")</formula>
    </cfRule>
    <cfRule type="expression" dxfId="1675" priority="1678">
      <formula>AS62&lt;&gt;""</formula>
    </cfRule>
  </conditionalFormatting>
  <conditionalFormatting sqref="AW64">
    <cfRule type="cellIs" dxfId="1674" priority="1666" operator="equal">
      <formula>" "</formula>
    </cfRule>
    <cfRule type="expression" dxfId="1673" priority="1672">
      <formula>OR(AR64="Sa",AR64="Di",AT64="F")</formula>
    </cfRule>
    <cfRule type="expression" dxfId="1672" priority="1673">
      <formula>AR64&lt;&gt;""</formula>
    </cfRule>
  </conditionalFormatting>
  <conditionalFormatting sqref="AU64">
    <cfRule type="cellIs" dxfId="1671" priority="1670" operator="equal">
      <formula>" "</formula>
    </cfRule>
    <cfRule type="expression" dxfId="1670" priority="1671">
      <formula>OR(AR64="Sa",AR64="Di",AT64="F")</formula>
    </cfRule>
    <cfRule type="expression" dxfId="1669" priority="1674">
      <formula>AR64&lt;&gt;""</formula>
    </cfRule>
  </conditionalFormatting>
  <conditionalFormatting sqref="AV64">
    <cfRule type="cellIs" dxfId="1668" priority="1667" operator="equal">
      <formula>" "</formula>
    </cfRule>
    <cfRule type="expression" dxfId="1667" priority="1668">
      <formula>OR(AR64="Sa",AR64="Di",AT64="F")</formula>
    </cfRule>
    <cfRule type="expression" dxfId="1666" priority="1669">
      <formula>AS64&lt;&gt;""</formula>
    </cfRule>
  </conditionalFormatting>
  <conditionalFormatting sqref="AW66">
    <cfRule type="cellIs" dxfId="1665" priority="1657" operator="equal">
      <formula>" "</formula>
    </cfRule>
    <cfRule type="expression" dxfId="1664" priority="1663">
      <formula>OR(AR66="Sa",AR66="Di",AT66="F")</formula>
    </cfRule>
    <cfRule type="expression" dxfId="1663" priority="1664">
      <formula>AR66&lt;&gt;""</formula>
    </cfRule>
  </conditionalFormatting>
  <conditionalFormatting sqref="AU66">
    <cfRule type="cellIs" dxfId="1662" priority="1661" operator="equal">
      <formula>" "</formula>
    </cfRule>
    <cfRule type="expression" dxfId="1661" priority="1662">
      <formula>OR(AR66="Sa",AR66="Di",AT66="F")</formula>
    </cfRule>
    <cfRule type="expression" dxfId="1660" priority="1665">
      <formula>AR66&lt;&gt;""</formula>
    </cfRule>
  </conditionalFormatting>
  <conditionalFormatting sqref="AV66">
    <cfRule type="cellIs" dxfId="1659" priority="1658" operator="equal">
      <formula>" "</formula>
    </cfRule>
    <cfRule type="expression" dxfId="1658" priority="1659">
      <formula>OR(AR66="Sa",AR66="Di",AT66="F")</formula>
    </cfRule>
    <cfRule type="expression" dxfId="1657" priority="1660">
      <formula>AS66&lt;&gt;""</formula>
    </cfRule>
  </conditionalFormatting>
  <conditionalFormatting sqref="BD6">
    <cfRule type="cellIs" dxfId="1656" priority="1648" operator="equal">
      <formula>" "</formula>
    </cfRule>
    <cfRule type="expression" dxfId="1655" priority="1654">
      <formula>OR(AY6="Sa",AY6="Di",BA6="F")</formula>
    </cfRule>
    <cfRule type="expression" dxfId="1654" priority="1655">
      <formula>AY6&lt;&gt;""</formula>
    </cfRule>
  </conditionalFormatting>
  <conditionalFormatting sqref="BB6">
    <cfRule type="cellIs" dxfId="1653" priority="1652" operator="equal">
      <formula>" "</formula>
    </cfRule>
    <cfRule type="expression" dxfId="1652" priority="1653">
      <formula>OR(AY6="Sa",AY6="Di",BA6="F")</formula>
    </cfRule>
    <cfRule type="expression" dxfId="1651" priority="1656">
      <formula>AY6&lt;&gt;""</formula>
    </cfRule>
  </conditionalFormatting>
  <conditionalFormatting sqref="BC6">
    <cfRule type="cellIs" dxfId="1650" priority="1649" operator="equal">
      <formula>" "</formula>
    </cfRule>
    <cfRule type="expression" dxfId="1649" priority="1650">
      <formula>OR(AY6="Sa",AY6="Di",BA6="F")</formula>
    </cfRule>
    <cfRule type="expression" dxfId="1648" priority="1651">
      <formula>AZ6&lt;&gt;""</formula>
    </cfRule>
  </conditionalFormatting>
  <conditionalFormatting sqref="BD8">
    <cfRule type="cellIs" dxfId="1647" priority="1639" operator="equal">
      <formula>" "</formula>
    </cfRule>
    <cfRule type="expression" dxfId="1646" priority="1645">
      <formula>OR(AY8="Sa",AY8="Di",BA8="F")</formula>
    </cfRule>
    <cfRule type="expression" dxfId="1645" priority="1646">
      <formula>AY8&lt;&gt;""</formula>
    </cfRule>
  </conditionalFormatting>
  <conditionalFormatting sqref="BB8">
    <cfRule type="cellIs" dxfId="1644" priority="1643" operator="equal">
      <formula>" "</formula>
    </cfRule>
    <cfRule type="expression" dxfId="1643" priority="1644">
      <formula>OR(AY8="Sa",AY8="Di",BA8="F")</formula>
    </cfRule>
    <cfRule type="expression" dxfId="1642" priority="1647">
      <formula>AY8&lt;&gt;""</formula>
    </cfRule>
  </conditionalFormatting>
  <conditionalFormatting sqref="BC8">
    <cfRule type="cellIs" dxfId="1641" priority="1640" operator="equal">
      <formula>" "</formula>
    </cfRule>
    <cfRule type="expression" dxfId="1640" priority="1641">
      <formula>OR(AY8="Sa",AY8="Di",BA8="F")</formula>
    </cfRule>
    <cfRule type="expression" dxfId="1639" priority="1642">
      <formula>AZ8&lt;&gt;""</formula>
    </cfRule>
  </conditionalFormatting>
  <conditionalFormatting sqref="BD10">
    <cfRule type="cellIs" dxfId="1638" priority="1630" operator="equal">
      <formula>" "</formula>
    </cfRule>
    <cfRule type="expression" dxfId="1637" priority="1636">
      <formula>OR(AY10="Sa",AY10="Di",BA10="F")</formula>
    </cfRule>
    <cfRule type="expression" dxfId="1636" priority="1637">
      <formula>AY10&lt;&gt;""</formula>
    </cfRule>
  </conditionalFormatting>
  <conditionalFormatting sqref="BB10">
    <cfRule type="cellIs" dxfId="1635" priority="1634" operator="equal">
      <formula>" "</formula>
    </cfRule>
    <cfRule type="expression" dxfId="1634" priority="1635">
      <formula>OR(AY10="Sa",AY10="Di",BA10="F")</formula>
    </cfRule>
    <cfRule type="expression" dxfId="1633" priority="1638">
      <formula>AY10&lt;&gt;""</formula>
    </cfRule>
  </conditionalFormatting>
  <conditionalFormatting sqref="BC10">
    <cfRule type="cellIs" dxfId="1632" priority="1631" operator="equal">
      <formula>" "</formula>
    </cfRule>
    <cfRule type="expression" dxfId="1631" priority="1632">
      <formula>OR(AY10="Sa",AY10="Di",BA10="F")</formula>
    </cfRule>
    <cfRule type="expression" dxfId="1630" priority="1633">
      <formula>AZ10&lt;&gt;""</formula>
    </cfRule>
  </conditionalFormatting>
  <conditionalFormatting sqref="BD12">
    <cfRule type="cellIs" dxfId="1629" priority="1621" operator="equal">
      <formula>" "</formula>
    </cfRule>
    <cfRule type="expression" dxfId="1628" priority="1627">
      <formula>OR(AY12="Sa",AY12="Di",BA12="F")</formula>
    </cfRule>
    <cfRule type="expression" dxfId="1627" priority="1628">
      <formula>AY12&lt;&gt;""</formula>
    </cfRule>
  </conditionalFormatting>
  <conditionalFormatting sqref="BB12">
    <cfRule type="cellIs" dxfId="1626" priority="1625" operator="equal">
      <formula>" "</formula>
    </cfRule>
    <cfRule type="expression" dxfId="1625" priority="1626">
      <formula>OR(AY12="Sa",AY12="Di",BA12="F")</formula>
    </cfRule>
    <cfRule type="expression" dxfId="1624" priority="1629">
      <formula>AY12&lt;&gt;""</formula>
    </cfRule>
  </conditionalFormatting>
  <conditionalFormatting sqref="BC12">
    <cfRule type="cellIs" dxfId="1623" priority="1622" operator="equal">
      <formula>" "</formula>
    </cfRule>
    <cfRule type="expression" dxfId="1622" priority="1623">
      <formula>OR(AY12="Sa",AY12="Di",BA12="F")</formula>
    </cfRule>
    <cfRule type="expression" dxfId="1621" priority="1624">
      <formula>AZ12&lt;&gt;""</formula>
    </cfRule>
  </conditionalFormatting>
  <conditionalFormatting sqref="BD14">
    <cfRule type="cellIs" dxfId="1620" priority="1612" operator="equal">
      <formula>" "</formula>
    </cfRule>
    <cfRule type="expression" dxfId="1619" priority="1618">
      <formula>OR(AY14="Sa",AY14="Di",BA14="F")</formula>
    </cfRule>
    <cfRule type="expression" dxfId="1618" priority="1619">
      <formula>AY14&lt;&gt;""</formula>
    </cfRule>
  </conditionalFormatting>
  <conditionalFormatting sqref="BB14">
    <cfRule type="cellIs" dxfId="1617" priority="1616" operator="equal">
      <formula>" "</formula>
    </cfRule>
    <cfRule type="expression" dxfId="1616" priority="1617">
      <formula>OR(AY14="Sa",AY14="Di",BA14="F")</formula>
    </cfRule>
    <cfRule type="expression" dxfId="1615" priority="1620">
      <formula>AY14&lt;&gt;""</formula>
    </cfRule>
  </conditionalFormatting>
  <conditionalFormatting sqref="BC14">
    <cfRule type="cellIs" dxfId="1614" priority="1613" operator="equal">
      <formula>" "</formula>
    </cfRule>
    <cfRule type="expression" dxfId="1613" priority="1614">
      <formula>OR(AY14="Sa",AY14="Di",BA14="F")</formula>
    </cfRule>
    <cfRule type="expression" dxfId="1612" priority="1615">
      <formula>AZ14&lt;&gt;""</formula>
    </cfRule>
  </conditionalFormatting>
  <conditionalFormatting sqref="BD16">
    <cfRule type="cellIs" dxfId="1611" priority="1603" operator="equal">
      <formula>" "</formula>
    </cfRule>
    <cfRule type="expression" dxfId="1610" priority="1609">
      <formula>OR(AY16="Sa",AY16="Di",BA16="F")</formula>
    </cfRule>
    <cfRule type="expression" dxfId="1609" priority="1610">
      <formula>AY16&lt;&gt;""</formula>
    </cfRule>
  </conditionalFormatting>
  <conditionalFormatting sqref="BB16">
    <cfRule type="cellIs" dxfId="1608" priority="1607" operator="equal">
      <formula>" "</formula>
    </cfRule>
    <cfRule type="expression" dxfId="1607" priority="1608">
      <formula>OR(AY16="Sa",AY16="Di",BA16="F")</formula>
    </cfRule>
    <cfRule type="expression" dxfId="1606" priority="1611">
      <formula>AY16&lt;&gt;""</formula>
    </cfRule>
  </conditionalFormatting>
  <conditionalFormatting sqref="BC16">
    <cfRule type="cellIs" dxfId="1605" priority="1604" operator="equal">
      <formula>" "</formula>
    </cfRule>
    <cfRule type="expression" dxfId="1604" priority="1605">
      <formula>OR(AY16="Sa",AY16="Di",BA16="F")</formula>
    </cfRule>
    <cfRule type="expression" dxfId="1603" priority="1606">
      <formula>AZ16&lt;&gt;""</formula>
    </cfRule>
  </conditionalFormatting>
  <conditionalFormatting sqref="BD18">
    <cfRule type="cellIs" dxfId="1602" priority="1594" operator="equal">
      <formula>" "</formula>
    </cfRule>
    <cfRule type="expression" dxfId="1601" priority="1600">
      <formula>OR(AY18="Sa",AY18="Di",BA18="F")</formula>
    </cfRule>
    <cfRule type="expression" dxfId="1600" priority="1601">
      <formula>AY18&lt;&gt;""</formula>
    </cfRule>
  </conditionalFormatting>
  <conditionalFormatting sqref="BB18">
    <cfRule type="cellIs" dxfId="1599" priority="1598" operator="equal">
      <formula>" "</formula>
    </cfRule>
    <cfRule type="expression" dxfId="1598" priority="1599">
      <formula>OR(AY18="Sa",AY18="Di",BA18="F")</formula>
    </cfRule>
    <cfRule type="expression" dxfId="1597" priority="1602">
      <formula>AY18&lt;&gt;""</formula>
    </cfRule>
  </conditionalFormatting>
  <conditionalFormatting sqref="BC18">
    <cfRule type="cellIs" dxfId="1596" priority="1595" operator="equal">
      <formula>" "</formula>
    </cfRule>
    <cfRule type="expression" dxfId="1595" priority="1596">
      <formula>OR(AY18="Sa",AY18="Di",BA18="F")</formula>
    </cfRule>
    <cfRule type="expression" dxfId="1594" priority="1597">
      <formula>AZ18&lt;&gt;""</formula>
    </cfRule>
  </conditionalFormatting>
  <conditionalFormatting sqref="BD20">
    <cfRule type="cellIs" dxfId="1593" priority="1585" operator="equal">
      <formula>" "</formula>
    </cfRule>
    <cfRule type="expression" dxfId="1592" priority="1591">
      <formula>OR(AY20="Sa",AY20="Di",BA20="F")</formula>
    </cfRule>
    <cfRule type="expression" dxfId="1591" priority="1592">
      <formula>AY20&lt;&gt;""</formula>
    </cfRule>
  </conditionalFormatting>
  <conditionalFormatting sqref="BB20">
    <cfRule type="cellIs" dxfId="1590" priority="1589" operator="equal">
      <formula>" "</formula>
    </cfRule>
    <cfRule type="expression" dxfId="1589" priority="1590">
      <formula>OR(AY20="Sa",AY20="Di",BA20="F")</formula>
    </cfRule>
    <cfRule type="expression" dxfId="1588" priority="1593">
      <formula>AY20&lt;&gt;""</formula>
    </cfRule>
  </conditionalFormatting>
  <conditionalFormatting sqref="BC20">
    <cfRule type="cellIs" dxfId="1587" priority="1586" operator="equal">
      <formula>" "</formula>
    </cfRule>
    <cfRule type="expression" dxfId="1586" priority="1587">
      <formula>OR(AY20="Sa",AY20="Di",BA20="F")</formula>
    </cfRule>
    <cfRule type="expression" dxfId="1585" priority="1588">
      <formula>AZ20&lt;&gt;""</formula>
    </cfRule>
  </conditionalFormatting>
  <conditionalFormatting sqref="BD22">
    <cfRule type="cellIs" dxfId="1584" priority="1576" operator="equal">
      <formula>" "</formula>
    </cfRule>
    <cfRule type="expression" dxfId="1583" priority="1582">
      <formula>OR(AY22="Sa",AY22="Di",BA22="F")</formula>
    </cfRule>
    <cfRule type="expression" dxfId="1582" priority="1583">
      <formula>AY22&lt;&gt;""</formula>
    </cfRule>
  </conditionalFormatting>
  <conditionalFormatting sqref="BB22">
    <cfRule type="cellIs" dxfId="1581" priority="1580" operator="equal">
      <formula>" "</formula>
    </cfRule>
    <cfRule type="expression" dxfId="1580" priority="1581">
      <formula>OR(AY22="Sa",AY22="Di",BA22="F")</formula>
    </cfRule>
    <cfRule type="expression" dxfId="1579" priority="1584">
      <formula>AY22&lt;&gt;""</formula>
    </cfRule>
  </conditionalFormatting>
  <conditionalFormatting sqref="BC22">
    <cfRule type="cellIs" dxfId="1578" priority="1577" operator="equal">
      <formula>" "</formula>
    </cfRule>
    <cfRule type="expression" dxfId="1577" priority="1578">
      <formula>OR(AY22="Sa",AY22="Di",BA22="F")</formula>
    </cfRule>
    <cfRule type="expression" dxfId="1576" priority="1579">
      <formula>AZ22&lt;&gt;""</formula>
    </cfRule>
  </conditionalFormatting>
  <conditionalFormatting sqref="BD24">
    <cfRule type="cellIs" dxfId="1575" priority="1567" operator="equal">
      <formula>" "</formula>
    </cfRule>
    <cfRule type="expression" dxfId="1574" priority="1573">
      <formula>OR(AY24="Sa",AY24="Di",BA24="F")</formula>
    </cfRule>
    <cfRule type="expression" dxfId="1573" priority="1574">
      <formula>AY24&lt;&gt;""</formula>
    </cfRule>
  </conditionalFormatting>
  <conditionalFormatting sqref="BB24">
    <cfRule type="cellIs" dxfId="1572" priority="1571" operator="equal">
      <formula>" "</formula>
    </cfRule>
    <cfRule type="expression" dxfId="1571" priority="1572">
      <formula>OR(AY24="Sa",AY24="Di",BA24="F")</formula>
    </cfRule>
    <cfRule type="expression" dxfId="1570" priority="1575">
      <formula>AY24&lt;&gt;""</formula>
    </cfRule>
  </conditionalFormatting>
  <conditionalFormatting sqref="BC24">
    <cfRule type="cellIs" dxfId="1569" priority="1568" operator="equal">
      <formula>" "</formula>
    </cfRule>
    <cfRule type="expression" dxfId="1568" priority="1569">
      <formula>OR(AY24="Sa",AY24="Di",BA24="F")</formula>
    </cfRule>
    <cfRule type="expression" dxfId="1567" priority="1570">
      <formula>AZ24&lt;&gt;""</formula>
    </cfRule>
  </conditionalFormatting>
  <conditionalFormatting sqref="BD26">
    <cfRule type="cellIs" dxfId="1566" priority="1558" operator="equal">
      <formula>" "</formula>
    </cfRule>
    <cfRule type="expression" dxfId="1565" priority="1564">
      <formula>OR(AY26="Sa",AY26="Di",BA26="F")</formula>
    </cfRule>
    <cfRule type="expression" dxfId="1564" priority="1565">
      <formula>AY26&lt;&gt;""</formula>
    </cfRule>
  </conditionalFormatting>
  <conditionalFormatting sqref="BB26">
    <cfRule type="cellIs" dxfId="1563" priority="1562" operator="equal">
      <formula>" "</formula>
    </cfRule>
    <cfRule type="expression" dxfId="1562" priority="1563">
      <formula>OR(AY26="Sa",AY26="Di",BA26="F")</formula>
    </cfRule>
    <cfRule type="expression" dxfId="1561" priority="1566">
      <formula>AY26&lt;&gt;""</formula>
    </cfRule>
  </conditionalFormatting>
  <conditionalFormatting sqref="BC26">
    <cfRule type="cellIs" dxfId="1560" priority="1559" operator="equal">
      <formula>" "</formula>
    </cfRule>
    <cfRule type="expression" dxfId="1559" priority="1560">
      <formula>OR(AY26="Sa",AY26="Di",BA26="F")</formula>
    </cfRule>
    <cfRule type="expression" dxfId="1558" priority="1561">
      <formula>AZ26&lt;&gt;""</formula>
    </cfRule>
  </conditionalFormatting>
  <conditionalFormatting sqref="BD28">
    <cfRule type="cellIs" dxfId="1557" priority="1549" operator="equal">
      <formula>" "</formula>
    </cfRule>
    <cfRule type="expression" dxfId="1556" priority="1555">
      <formula>OR(AY28="Sa",AY28="Di",BA28="F")</formula>
    </cfRule>
    <cfRule type="expression" dxfId="1555" priority="1556">
      <formula>AY28&lt;&gt;""</formula>
    </cfRule>
  </conditionalFormatting>
  <conditionalFormatting sqref="BB28">
    <cfRule type="cellIs" dxfId="1554" priority="1553" operator="equal">
      <formula>" "</formula>
    </cfRule>
    <cfRule type="expression" dxfId="1553" priority="1554">
      <formula>OR(AY28="Sa",AY28="Di",BA28="F")</formula>
    </cfRule>
    <cfRule type="expression" dxfId="1552" priority="1557">
      <formula>AY28&lt;&gt;""</formula>
    </cfRule>
  </conditionalFormatting>
  <conditionalFormatting sqref="BC28">
    <cfRule type="cellIs" dxfId="1551" priority="1550" operator="equal">
      <formula>" "</formula>
    </cfRule>
    <cfRule type="expression" dxfId="1550" priority="1551">
      <formula>OR(AY28="Sa",AY28="Di",BA28="F")</formula>
    </cfRule>
    <cfRule type="expression" dxfId="1549" priority="1552">
      <formula>AZ28&lt;&gt;""</formula>
    </cfRule>
  </conditionalFormatting>
  <conditionalFormatting sqref="BD30">
    <cfRule type="cellIs" dxfId="1548" priority="1540" operator="equal">
      <formula>" "</formula>
    </cfRule>
    <cfRule type="expression" dxfId="1547" priority="1546">
      <formula>OR(AY30="Sa",AY30="Di",BA30="F")</formula>
    </cfRule>
    <cfRule type="expression" dxfId="1546" priority="1547">
      <formula>AY30&lt;&gt;""</formula>
    </cfRule>
  </conditionalFormatting>
  <conditionalFormatting sqref="BB30">
    <cfRule type="cellIs" dxfId="1545" priority="1544" operator="equal">
      <formula>" "</formula>
    </cfRule>
    <cfRule type="expression" dxfId="1544" priority="1545">
      <formula>OR(AY30="Sa",AY30="Di",BA30="F")</formula>
    </cfRule>
    <cfRule type="expression" dxfId="1543" priority="1548">
      <formula>AY30&lt;&gt;""</formula>
    </cfRule>
  </conditionalFormatting>
  <conditionalFormatting sqref="BC30">
    <cfRule type="cellIs" dxfId="1542" priority="1541" operator="equal">
      <formula>" "</formula>
    </cfRule>
    <cfRule type="expression" dxfId="1541" priority="1542">
      <formula>OR(AY30="Sa",AY30="Di",BA30="F")</formula>
    </cfRule>
    <cfRule type="expression" dxfId="1540" priority="1543">
      <formula>AZ30&lt;&gt;""</formula>
    </cfRule>
  </conditionalFormatting>
  <conditionalFormatting sqref="BD32">
    <cfRule type="cellIs" dxfId="1539" priority="1531" operator="equal">
      <formula>" "</formula>
    </cfRule>
    <cfRule type="expression" dxfId="1538" priority="1537">
      <formula>OR(AY32="Sa",AY32="Di",BA32="F")</formula>
    </cfRule>
    <cfRule type="expression" dxfId="1537" priority="1538">
      <formula>AY32&lt;&gt;""</formula>
    </cfRule>
  </conditionalFormatting>
  <conditionalFormatting sqref="BB32">
    <cfRule type="cellIs" dxfId="1536" priority="1535" operator="equal">
      <formula>" "</formula>
    </cfRule>
    <cfRule type="expression" dxfId="1535" priority="1536">
      <formula>OR(AY32="Sa",AY32="Di",BA32="F")</formula>
    </cfRule>
    <cfRule type="expression" dxfId="1534" priority="1539">
      <formula>AY32&lt;&gt;""</formula>
    </cfRule>
  </conditionalFormatting>
  <conditionalFormatting sqref="BC32">
    <cfRule type="cellIs" dxfId="1533" priority="1532" operator="equal">
      <formula>" "</formula>
    </cfRule>
    <cfRule type="expression" dxfId="1532" priority="1533">
      <formula>OR(AY32="Sa",AY32="Di",BA32="F")</formula>
    </cfRule>
    <cfRule type="expression" dxfId="1531" priority="1534">
      <formula>AZ32&lt;&gt;""</formula>
    </cfRule>
  </conditionalFormatting>
  <conditionalFormatting sqref="BD34">
    <cfRule type="cellIs" dxfId="1530" priority="1522" operator="equal">
      <formula>" "</formula>
    </cfRule>
    <cfRule type="expression" dxfId="1529" priority="1528">
      <formula>OR(AY34="Sa",AY34="Di",BA34="F")</formula>
    </cfRule>
    <cfRule type="expression" dxfId="1528" priority="1529">
      <formula>AY34&lt;&gt;""</formula>
    </cfRule>
  </conditionalFormatting>
  <conditionalFormatting sqref="BB34">
    <cfRule type="cellIs" dxfId="1527" priority="1526" operator="equal">
      <formula>" "</formula>
    </cfRule>
    <cfRule type="expression" dxfId="1526" priority="1527">
      <formula>OR(AY34="Sa",AY34="Di",BA34="F")</formula>
    </cfRule>
    <cfRule type="expression" dxfId="1525" priority="1530">
      <formula>AY34&lt;&gt;""</formula>
    </cfRule>
  </conditionalFormatting>
  <conditionalFormatting sqref="BC34">
    <cfRule type="cellIs" dxfId="1524" priority="1523" operator="equal">
      <formula>" "</formula>
    </cfRule>
    <cfRule type="expression" dxfId="1523" priority="1524">
      <formula>OR(AY34="Sa",AY34="Di",BA34="F")</formula>
    </cfRule>
    <cfRule type="expression" dxfId="1522" priority="1525">
      <formula>AZ34&lt;&gt;""</formula>
    </cfRule>
  </conditionalFormatting>
  <conditionalFormatting sqref="BD36">
    <cfRule type="cellIs" dxfId="1521" priority="1513" operator="equal">
      <formula>" "</formula>
    </cfRule>
    <cfRule type="expression" dxfId="1520" priority="1519">
      <formula>OR(AY36="Sa",AY36="Di",BA36="F")</formula>
    </cfRule>
    <cfRule type="expression" dxfId="1519" priority="1520">
      <formula>AY36&lt;&gt;""</formula>
    </cfRule>
  </conditionalFormatting>
  <conditionalFormatting sqref="BB36">
    <cfRule type="cellIs" dxfId="1518" priority="1517" operator="equal">
      <formula>" "</formula>
    </cfRule>
    <cfRule type="expression" dxfId="1517" priority="1518">
      <formula>OR(AY36="Sa",AY36="Di",BA36="F")</formula>
    </cfRule>
    <cfRule type="expression" dxfId="1516" priority="1521">
      <formula>AY36&lt;&gt;""</formula>
    </cfRule>
  </conditionalFormatting>
  <conditionalFormatting sqref="BC36">
    <cfRule type="cellIs" dxfId="1515" priority="1514" operator="equal">
      <formula>" "</formula>
    </cfRule>
    <cfRule type="expression" dxfId="1514" priority="1515">
      <formula>OR(AY36="Sa",AY36="Di",BA36="F")</formula>
    </cfRule>
    <cfRule type="expression" dxfId="1513" priority="1516">
      <formula>AZ36&lt;&gt;""</formula>
    </cfRule>
  </conditionalFormatting>
  <conditionalFormatting sqref="BD42">
    <cfRule type="cellIs" dxfId="1512" priority="1486" operator="equal">
      <formula>" "</formula>
    </cfRule>
    <cfRule type="expression" dxfId="1511" priority="1492">
      <formula>OR(AY42="Sa",AY42="Di",BA42="F")</formula>
    </cfRule>
    <cfRule type="expression" dxfId="1510" priority="1493">
      <formula>AY42&lt;&gt;""</formula>
    </cfRule>
  </conditionalFormatting>
  <conditionalFormatting sqref="BB42">
    <cfRule type="cellIs" dxfId="1509" priority="1490" operator="equal">
      <formula>" "</formula>
    </cfRule>
    <cfRule type="expression" dxfId="1508" priority="1491">
      <formula>OR(AY42="Sa",AY42="Di",BA42="F")</formula>
    </cfRule>
    <cfRule type="expression" dxfId="1507" priority="1494">
      <formula>AY42&lt;&gt;""</formula>
    </cfRule>
  </conditionalFormatting>
  <conditionalFormatting sqref="BC42">
    <cfRule type="cellIs" dxfId="1506" priority="1487" operator="equal">
      <formula>" "</formula>
    </cfRule>
    <cfRule type="expression" dxfId="1505" priority="1488">
      <formula>OR(AY42="Sa",AY42="Di",BA42="F")</formula>
    </cfRule>
    <cfRule type="expression" dxfId="1504" priority="1489">
      <formula>AZ42&lt;&gt;""</formula>
    </cfRule>
  </conditionalFormatting>
  <conditionalFormatting sqref="BD44">
    <cfRule type="cellIs" dxfId="1503" priority="1477" operator="equal">
      <formula>" "</formula>
    </cfRule>
    <cfRule type="expression" dxfId="1502" priority="1483">
      <formula>OR(AY44="Sa",AY44="Di",BA44="F")</formula>
    </cfRule>
    <cfRule type="expression" dxfId="1501" priority="1484">
      <formula>AY44&lt;&gt;""</formula>
    </cfRule>
  </conditionalFormatting>
  <conditionalFormatting sqref="BB44">
    <cfRule type="cellIs" dxfId="1500" priority="1481" operator="equal">
      <formula>" "</formula>
    </cfRule>
    <cfRule type="expression" dxfId="1499" priority="1482">
      <formula>OR(AY44="Sa",AY44="Di",BA44="F")</formula>
    </cfRule>
    <cfRule type="expression" dxfId="1498" priority="1485">
      <formula>AY44&lt;&gt;""</formula>
    </cfRule>
  </conditionalFormatting>
  <conditionalFormatting sqref="BC44">
    <cfRule type="cellIs" dxfId="1497" priority="1478" operator="equal">
      <formula>" "</formula>
    </cfRule>
    <cfRule type="expression" dxfId="1496" priority="1479">
      <formula>OR(AY44="Sa",AY44="Di",BA44="F")</formula>
    </cfRule>
    <cfRule type="expression" dxfId="1495" priority="1480">
      <formula>AZ44&lt;&gt;""</formula>
    </cfRule>
  </conditionalFormatting>
  <conditionalFormatting sqref="BD46">
    <cfRule type="cellIs" dxfId="1494" priority="1468" operator="equal">
      <formula>" "</formula>
    </cfRule>
    <cfRule type="expression" dxfId="1493" priority="1474">
      <formula>OR(AY46="Sa",AY46="Di",BA46="F")</formula>
    </cfRule>
    <cfRule type="expression" dxfId="1492" priority="1475">
      <formula>AY46&lt;&gt;""</formula>
    </cfRule>
  </conditionalFormatting>
  <conditionalFormatting sqref="BB46">
    <cfRule type="cellIs" dxfId="1491" priority="1472" operator="equal">
      <formula>" "</formula>
    </cfRule>
    <cfRule type="expression" dxfId="1490" priority="1473">
      <formula>OR(AY46="Sa",AY46="Di",BA46="F")</formula>
    </cfRule>
    <cfRule type="expression" dxfId="1489" priority="1476">
      <formula>AY46&lt;&gt;""</formula>
    </cfRule>
  </conditionalFormatting>
  <conditionalFormatting sqref="BC46">
    <cfRule type="cellIs" dxfId="1488" priority="1469" operator="equal">
      <formula>" "</formula>
    </cfRule>
    <cfRule type="expression" dxfId="1487" priority="1470">
      <formula>OR(AY46="Sa",AY46="Di",BA46="F")</formula>
    </cfRule>
    <cfRule type="expression" dxfId="1486" priority="1471">
      <formula>AZ46&lt;&gt;""</formula>
    </cfRule>
  </conditionalFormatting>
  <conditionalFormatting sqref="BD48">
    <cfRule type="cellIs" dxfId="1485" priority="1459" operator="equal">
      <formula>" "</formula>
    </cfRule>
    <cfRule type="expression" dxfId="1484" priority="1465">
      <formula>OR(AY48="Sa",AY48="Di",BA48="F")</formula>
    </cfRule>
    <cfRule type="expression" dxfId="1483" priority="1466">
      <formula>AY48&lt;&gt;""</formula>
    </cfRule>
  </conditionalFormatting>
  <conditionalFormatting sqref="BB48">
    <cfRule type="cellIs" dxfId="1482" priority="1463" operator="equal">
      <formula>" "</formula>
    </cfRule>
    <cfRule type="expression" dxfId="1481" priority="1464">
      <formula>OR(AY48="Sa",AY48="Di",BA48="F")</formula>
    </cfRule>
    <cfRule type="expression" dxfId="1480" priority="1467">
      <formula>AY48&lt;&gt;""</formula>
    </cfRule>
  </conditionalFormatting>
  <conditionalFormatting sqref="BC48">
    <cfRule type="cellIs" dxfId="1479" priority="1460" operator="equal">
      <formula>" "</formula>
    </cfRule>
    <cfRule type="expression" dxfId="1478" priority="1461">
      <formula>OR(AY48="Sa",AY48="Di",BA48="F")</formula>
    </cfRule>
    <cfRule type="expression" dxfId="1477" priority="1462">
      <formula>AZ48&lt;&gt;""</formula>
    </cfRule>
  </conditionalFormatting>
  <conditionalFormatting sqref="BD50">
    <cfRule type="cellIs" dxfId="1476" priority="1450" operator="equal">
      <formula>" "</formula>
    </cfRule>
    <cfRule type="expression" dxfId="1475" priority="1456">
      <formula>OR(AY50="Sa",AY50="Di",BA50="F")</formula>
    </cfRule>
    <cfRule type="expression" dxfId="1474" priority="1457">
      <formula>AY50&lt;&gt;""</formula>
    </cfRule>
  </conditionalFormatting>
  <conditionalFormatting sqref="BB50">
    <cfRule type="cellIs" dxfId="1473" priority="1454" operator="equal">
      <formula>" "</formula>
    </cfRule>
    <cfRule type="expression" dxfId="1472" priority="1455">
      <formula>OR(AY50="Sa",AY50="Di",BA50="F")</formula>
    </cfRule>
    <cfRule type="expression" dxfId="1471" priority="1458">
      <formula>AY50&lt;&gt;""</formula>
    </cfRule>
  </conditionalFormatting>
  <conditionalFormatting sqref="BC50">
    <cfRule type="cellIs" dxfId="1470" priority="1451" operator="equal">
      <formula>" "</formula>
    </cfRule>
    <cfRule type="expression" dxfId="1469" priority="1452">
      <formula>OR(AY50="Sa",AY50="Di",BA50="F")</formula>
    </cfRule>
    <cfRule type="expression" dxfId="1468" priority="1453">
      <formula>AZ50&lt;&gt;""</formula>
    </cfRule>
  </conditionalFormatting>
  <conditionalFormatting sqref="BD52">
    <cfRule type="cellIs" dxfId="1467" priority="1441" operator="equal">
      <formula>" "</formula>
    </cfRule>
    <cfRule type="expression" dxfId="1466" priority="1447">
      <formula>OR(AY52="Sa",AY52="Di",BA52="F")</formula>
    </cfRule>
    <cfRule type="expression" dxfId="1465" priority="1448">
      <formula>AY52&lt;&gt;""</formula>
    </cfRule>
  </conditionalFormatting>
  <conditionalFormatting sqref="BB52">
    <cfRule type="cellIs" dxfId="1464" priority="1445" operator="equal">
      <formula>" "</formula>
    </cfRule>
    <cfRule type="expression" dxfId="1463" priority="1446">
      <formula>OR(AY52="Sa",AY52="Di",BA52="F")</formula>
    </cfRule>
    <cfRule type="expression" dxfId="1462" priority="1449">
      <formula>AY52&lt;&gt;""</formula>
    </cfRule>
  </conditionalFormatting>
  <conditionalFormatting sqref="BC52">
    <cfRule type="cellIs" dxfId="1461" priority="1442" operator="equal">
      <formula>" "</formula>
    </cfRule>
    <cfRule type="expression" dxfId="1460" priority="1443">
      <formula>OR(AY52="Sa",AY52="Di",BA52="F")</formula>
    </cfRule>
    <cfRule type="expression" dxfId="1459" priority="1444">
      <formula>AZ52&lt;&gt;""</formula>
    </cfRule>
  </conditionalFormatting>
  <conditionalFormatting sqref="BD54">
    <cfRule type="cellIs" dxfId="1458" priority="1432" operator="equal">
      <formula>" "</formula>
    </cfRule>
    <cfRule type="expression" dxfId="1457" priority="1438">
      <formula>OR(AY54="Sa",AY54="Di",BA54="F")</formula>
    </cfRule>
    <cfRule type="expression" dxfId="1456" priority="1439">
      <formula>AY54&lt;&gt;""</formula>
    </cfRule>
  </conditionalFormatting>
  <conditionalFormatting sqref="BB54">
    <cfRule type="cellIs" dxfId="1455" priority="1436" operator="equal">
      <formula>" "</formula>
    </cfRule>
    <cfRule type="expression" dxfId="1454" priority="1437">
      <formula>OR(AY54="Sa",AY54="Di",BA54="F")</formula>
    </cfRule>
    <cfRule type="expression" dxfId="1453" priority="1440">
      <formula>AY54&lt;&gt;""</formula>
    </cfRule>
  </conditionalFormatting>
  <conditionalFormatting sqref="BC54">
    <cfRule type="cellIs" dxfId="1452" priority="1433" operator="equal">
      <formula>" "</formula>
    </cfRule>
    <cfRule type="expression" dxfId="1451" priority="1434">
      <formula>OR(AY54="Sa",AY54="Di",BA54="F")</formula>
    </cfRule>
    <cfRule type="expression" dxfId="1450" priority="1435">
      <formula>AZ54&lt;&gt;""</formula>
    </cfRule>
  </conditionalFormatting>
  <conditionalFormatting sqref="BD56">
    <cfRule type="cellIs" dxfId="1449" priority="1423" operator="equal">
      <formula>" "</formula>
    </cfRule>
    <cfRule type="expression" dxfId="1448" priority="1429">
      <formula>OR(AY56="Sa",AY56="Di",BA56="F")</formula>
    </cfRule>
    <cfRule type="expression" dxfId="1447" priority="1430">
      <formula>AY56&lt;&gt;""</formula>
    </cfRule>
  </conditionalFormatting>
  <conditionalFormatting sqref="BB56">
    <cfRule type="cellIs" dxfId="1446" priority="1427" operator="equal">
      <formula>" "</formula>
    </cfRule>
    <cfRule type="expression" dxfId="1445" priority="1428">
      <formula>OR(AY56="Sa",AY56="Di",BA56="F")</formula>
    </cfRule>
    <cfRule type="expression" dxfId="1444" priority="1431">
      <formula>AY56&lt;&gt;""</formula>
    </cfRule>
  </conditionalFormatting>
  <conditionalFormatting sqref="BC56">
    <cfRule type="cellIs" dxfId="1443" priority="1424" operator="equal">
      <formula>" "</formula>
    </cfRule>
    <cfRule type="expression" dxfId="1442" priority="1425">
      <formula>OR(AY56="Sa",AY56="Di",BA56="F")</formula>
    </cfRule>
    <cfRule type="expression" dxfId="1441" priority="1426">
      <formula>AZ56&lt;&gt;""</formula>
    </cfRule>
  </conditionalFormatting>
  <conditionalFormatting sqref="BD58">
    <cfRule type="cellIs" dxfId="1440" priority="1414" operator="equal">
      <formula>" "</formula>
    </cfRule>
    <cfRule type="expression" dxfId="1439" priority="1420">
      <formula>OR(AY58="Sa",AY58="Di",BA58="F")</formula>
    </cfRule>
    <cfRule type="expression" dxfId="1438" priority="1421">
      <formula>AY58&lt;&gt;""</formula>
    </cfRule>
  </conditionalFormatting>
  <conditionalFormatting sqref="BB58">
    <cfRule type="cellIs" dxfId="1437" priority="1418" operator="equal">
      <formula>" "</formula>
    </cfRule>
    <cfRule type="expression" dxfId="1436" priority="1419">
      <formula>OR(AY58="Sa",AY58="Di",BA58="F")</formula>
    </cfRule>
    <cfRule type="expression" dxfId="1435" priority="1422">
      <formula>AY58&lt;&gt;""</formula>
    </cfRule>
  </conditionalFormatting>
  <conditionalFormatting sqref="BC58">
    <cfRule type="cellIs" dxfId="1434" priority="1415" operator="equal">
      <formula>" "</formula>
    </cfRule>
    <cfRule type="expression" dxfId="1433" priority="1416">
      <formula>OR(AY58="Sa",AY58="Di",BA58="F")</formula>
    </cfRule>
    <cfRule type="expression" dxfId="1432" priority="1417">
      <formula>AZ58&lt;&gt;""</formula>
    </cfRule>
  </conditionalFormatting>
  <conditionalFormatting sqref="BD60">
    <cfRule type="cellIs" dxfId="1431" priority="1405" operator="equal">
      <formula>" "</formula>
    </cfRule>
    <cfRule type="expression" dxfId="1430" priority="1411">
      <formula>OR(AY60="Sa",AY60="Di",BA60="F")</formula>
    </cfRule>
    <cfRule type="expression" dxfId="1429" priority="1412">
      <formula>AY60&lt;&gt;""</formula>
    </cfRule>
  </conditionalFormatting>
  <conditionalFormatting sqref="BB60">
    <cfRule type="cellIs" dxfId="1428" priority="1409" operator="equal">
      <formula>" "</formula>
    </cfRule>
    <cfRule type="expression" dxfId="1427" priority="1410">
      <formula>OR(AY60="Sa",AY60="Di",BA60="F")</formula>
    </cfRule>
    <cfRule type="expression" dxfId="1426" priority="1413">
      <formula>AY60&lt;&gt;""</formula>
    </cfRule>
  </conditionalFormatting>
  <conditionalFormatting sqref="BC60">
    <cfRule type="cellIs" dxfId="1425" priority="1406" operator="equal">
      <formula>" "</formula>
    </cfRule>
    <cfRule type="expression" dxfId="1424" priority="1407">
      <formula>OR(AY60="Sa",AY60="Di",BA60="F")</formula>
    </cfRule>
    <cfRule type="expression" dxfId="1423" priority="1408">
      <formula>AZ60&lt;&gt;""</formula>
    </cfRule>
  </conditionalFormatting>
  <conditionalFormatting sqref="BD62">
    <cfRule type="cellIs" dxfId="1422" priority="1396" operator="equal">
      <formula>" "</formula>
    </cfRule>
    <cfRule type="expression" dxfId="1421" priority="1402">
      <formula>OR(AY62="Sa",AY62="Di",BA62="F")</formula>
    </cfRule>
    <cfRule type="expression" dxfId="1420" priority="1403">
      <formula>AY62&lt;&gt;""</formula>
    </cfRule>
  </conditionalFormatting>
  <conditionalFormatting sqref="BB62">
    <cfRule type="cellIs" dxfId="1419" priority="1400" operator="equal">
      <formula>" "</formula>
    </cfRule>
    <cfRule type="expression" dxfId="1418" priority="1401">
      <formula>OR(AY62="Sa",AY62="Di",BA62="F")</formula>
    </cfRule>
    <cfRule type="expression" dxfId="1417" priority="1404">
      <formula>AY62&lt;&gt;""</formula>
    </cfRule>
  </conditionalFormatting>
  <conditionalFormatting sqref="BC62">
    <cfRule type="cellIs" dxfId="1416" priority="1397" operator="equal">
      <formula>" "</formula>
    </cfRule>
    <cfRule type="expression" dxfId="1415" priority="1398">
      <formula>OR(AY62="Sa",AY62="Di",BA62="F")</formula>
    </cfRule>
    <cfRule type="expression" dxfId="1414" priority="1399">
      <formula>AZ62&lt;&gt;""</formula>
    </cfRule>
  </conditionalFormatting>
  <conditionalFormatting sqref="BD64">
    <cfRule type="cellIs" dxfId="1413" priority="1387" operator="equal">
      <formula>" "</formula>
    </cfRule>
    <cfRule type="expression" dxfId="1412" priority="1393">
      <formula>OR(AY64="Sa",AY64="Di",BA64="F")</formula>
    </cfRule>
    <cfRule type="expression" dxfId="1411" priority="1394">
      <formula>AY64&lt;&gt;""</formula>
    </cfRule>
  </conditionalFormatting>
  <conditionalFormatting sqref="BB64">
    <cfRule type="cellIs" dxfId="1410" priority="1391" operator="equal">
      <formula>" "</formula>
    </cfRule>
    <cfRule type="expression" dxfId="1409" priority="1392">
      <formula>OR(AY64="Sa",AY64="Di",BA64="F")</formula>
    </cfRule>
    <cfRule type="expression" dxfId="1408" priority="1395">
      <formula>AY64&lt;&gt;""</formula>
    </cfRule>
  </conditionalFormatting>
  <conditionalFormatting sqref="BC64">
    <cfRule type="cellIs" dxfId="1407" priority="1388" operator="equal">
      <formula>" "</formula>
    </cfRule>
    <cfRule type="expression" dxfId="1406" priority="1389">
      <formula>OR(AY64="Sa",AY64="Di",BA64="F")</formula>
    </cfRule>
    <cfRule type="expression" dxfId="1405" priority="1390">
      <formula>AZ64&lt;&gt;""</formula>
    </cfRule>
  </conditionalFormatting>
  <conditionalFormatting sqref="BD66">
    <cfRule type="cellIs" dxfId="1404" priority="1378" operator="equal">
      <formula>" "</formula>
    </cfRule>
    <cfRule type="expression" dxfId="1403" priority="1384">
      <formula>OR(AY66="Sa",AY66="Di",BA66="F")</formula>
    </cfRule>
    <cfRule type="expression" dxfId="1402" priority="1385">
      <formula>AY66&lt;&gt;""</formula>
    </cfRule>
  </conditionalFormatting>
  <conditionalFormatting sqref="BB66">
    <cfRule type="cellIs" dxfId="1401" priority="1382" operator="equal">
      <formula>" "</formula>
    </cfRule>
    <cfRule type="expression" dxfId="1400" priority="1383">
      <formula>OR(AY66="Sa",AY66="Di",BA66="F")</formula>
    </cfRule>
    <cfRule type="expression" dxfId="1399" priority="1386">
      <formula>AY66&lt;&gt;""</formula>
    </cfRule>
  </conditionalFormatting>
  <conditionalFormatting sqref="BC66">
    <cfRule type="cellIs" dxfId="1398" priority="1379" operator="equal">
      <formula>" "</formula>
    </cfRule>
    <cfRule type="expression" dxfId="1397" priority="1380">
      <formula>OR(AY66="Sa",AY66="Di",BA66="F")</formula>
    </cfRule>
    <cfRule type="expression" dxfId="1396" priority="1381">
      <formula>AZ66&lt;&gt;""</formula>
    </cfRule>
  </conditionalFormatting>
  <conditionalFormatting sqref="BK6">
    <cfRule type="cellIs" dxfId="1395" priority="1369" operator="equal">
      <formula>" "</formula>
    </cfRule>
    <cfRule type="expression" dxfId="1394" priority="1375">
      <formula>OR(BF6="Sa",BF6="Di",BH6="F")</formula>
    </cfRule>
    <cfRule type="expression" dxfId="1393" priority="1376">
      <formula>BF6&lt;&gt;""</formula>
    </cfRule>
  </conditionalFormatting>
  <conditionalFormatting sqref="BI6">
    <cfRule type="cellIs" dxfId="1392" priority="1373" operator="equal">
      <formula>" "</formula>
    </cfRule>
    <cfRule type="expression" dxfId="1391" priority="1374">
      <formula>OR(BF6="Sa",BF6="Di",BH6="F")</formula>
    </cfRule>
    <cfRule type="expression" dxfId="1390" priority="1377">
      <formula>BF6&lt;&gt;""</formula>
    </cfRule>
  </conditionalFormatting>
  <conditionalFormatting sqref="BJ6">
    <cfRule type="cellIs" dxfId="1389" priority="1370" operator="equal">
      <formula>" "</formula>
    </cfRule>
    <cfRule type="expression" dxfId="1388" priority="1371">
      <formula>OR(BF6="Sa",BF6="Di",BH6="F")</formula>
    </cfRule>
    <cfRule type="expression" dxfId="1387" priority="1372">
      <formula>BG6&lt;&gt;""</formula>
    </cfRule>
  </conditionalFormatting>
  <conditionalFormatting sqref="BK8">
    <cfRule type="cellIs" dxfId="1386" priority="1360" operator="equal">
      <formula>" "</formula>
    </cfRule>
    <cfRule type="expression" dxfId="1385" priority="1366">
      <formula>OR(BF8="Sa",BF8="Di",BH8="F")</formula>
    </cfRule>
    <cfRule type="expression" dxfId="1384" priority="1367">
      <formula>BF8&lt;&gt;""</formula>
    </cfRule>
  </conditionalFormatting>
  <conditionalFormatting sqref="BI8">
    <cfRule type="cellIs" dxfId="1383" priority="1364" operator="equal">
      <formula>" "</formula>
    </cfRule>
    <cfRule type="expression" dxfId="1382" priority="1365">
      <formula>OR(BF8="Sa",BF8="Di",BH8="F")</formula>
    </cfRule>
    <cfRule type="expression" dxfId="1381" priority="1368">
      <formula>BF8&lt;&gt;""</formula>
    </cfRule>
  </conditionalFormatting>
  <conditionalFormatting sqref="BJ8">
    <cfRule type="cellIs" dxfId="1380" priority="1361" operator="equal">
      <formula>" "</formula>
    </cfRule>
    <cfRule type="expression" dxfId="1379" priority="1362">
      <formula>OR(BF8="Sa",BF8="Di",BH8="F")</formula>
    </cfRule>
    <cfRule type="expression" dxfId="1378" priority="1363">
      <formula>BG8&lt;&gt;""</formula>
    </cfRule>
  </conditionalFormatting>
  <conditionalFormatting sqref="BK10">
    <cfRule type="cellIs" dxfId="1377" priority="1351" operator="equal">
      <formula>" "</formula>
    </cfRule>
    <cfRule type="expression" dxfId="1376" priority="1357">
      <formula>OR(BF10="Sa",BF10="Di",BH10="F")</formula>
    </cfRule>
    <cfRule type="expression" dxfId="1375" priority="1358">
      <formula>BF10&lt;&gt;""</formula>
    </cfRule>
  </conditionalFormatting>
  <conditionalFormatting sqref="BI10">
    <cfRule type="cellIs" dxfId="1374" priority="1355" operator="equal">
      <formula>" "</formula>
    </cfRule>
    <cfRule type="expression" dxfId="1373" priority="1356">
      <formula>OR(BF10="Sa",BF10="Di",BH10="F")</formula>
    </cfRule>
    <cfRule type="expression" dxfId="1372" priority="1359">
      <formula>BF10&lt;&gt;""</formula>
    </cfRule>
  </conditionalFormatting>
  <conditionalFormatting sqref="BJ10">
    <cfRule type="cellIs" dxfId="1371" priority="1352" operator="equal">
      <formula>" "</formula>
    </cfRule>
    <cfRule type="expression" dxfId="1370" priority="1353">
      <formula>OR(BF10="Sa",BF10="Di",BH10="F")</formula>
    </cfRule>
    <cfRule type="expression" dxfId="1369" priority="1354">
      <formula>BG10&lt;&gt;""</formula>
    </cfRule>
  </conditionalFormatting>
  <conditionalFormatting sqref="BK12">
    <cfRule type="cellIs" dxfId="1368" priority="1342" operator="equal">
      <formula>" "</formula>
    </cfRule>
    <cfRule type="expression" dxfId="1367" priority="1348">
      <formula>OR(BF12="Sa",BF12="Di",BH12="F")</formula>
    </cfRule>
    <cfRule type="expression" dxfId="1366" priority="1349">
      <formula>BF12&lt;&gt;""</formula>
    </cfRule>
  </conditionalFormatting>
  <conditionalFormatting sqref="BI12">
    <cfRule type="cellIs" dxfId="1365" priority="1346" operator="equal">
      <formula>" "</formula>
    </cfRule>
    <cfRule type="expression" dxfId="1364" priority="1347">
      <formula>OR(BF12="Sa",BF12="Di",BH12="F")</formula>
    </cfRule>
    <cfRule type="expression" dxfId="1363" priority="1350">
      <formula>BF12&lt;&gt;""</formula>
    </cfRule>
  </conditionalFormatting>
  <conditionalFormatting sqref="BJ12">
    <cfRule type="cellIs" dxfId="1362" priority="1343" operator="equal">
      <formula>" "</formula>
    </cfRule>
    <cfRule type="expression" dxfId="1361" priority="1344">
      <formula>OR(BF12="Sa",BF12="Di",BH12="F")</formula>
    </cfRule>
    <cfRule type="expression" dxfId="1360" priority="1345">
      <formula>BG12&lt;&gt;""</formula>
    </cfRule>
  </conditionalFormatting>
  <conditionalFormatting sqref="BK14">
    <cfRule type="cellIs" dxfId="1359" priority="1333" operator="equal">
      <formula>" "</formula>
    </cfRule>
    <cfRule type="expression" dxfId="1358" priority="1339">
      <formula>OR(BF14="Sa",BF14="Di",BH14="F")</formula>
    </cfRule>
    <cfRule type="expression" dxfId="1357" priority="1340">
      <formula>BF14&lt;&gt;""</formula>
    </cfRule>
  </conditionalFormatting>
  <conditionalFormatting sqref="BI14">
    <cfRule type="cellIs" dxfId="1356" priority="1337" operator="equal">
      <formula>" "</formula>
    </cfRule>
    <cfRule type="expression" dxfId="1355" priority="1338">
      <formula>OR(BF14="Sa",BF14="Di",BH14="F")</formula>
    </cfRule>
    <cfRule type="expression" dxfId="1354" priority="1341">
      <formula>BF14&lt;&gt;""</formula>
    </cfRule>
  </conditionalFormatting>
  <conditionalFormatting sqref="BJ14">
    <cfRule type="cellIs" dxfId="1353" priority="1334" operator="equal">
      <formula>" "</formula>
    </cfRule>
    <cfRule type="expression" dxfId="1352" priority="1335">
      <formula>OR(BF14="Sa",BF14="Di",BH14="F")</formula>
    </cfRule>
    <cfRule type="expression" dxfId="1351" priority="1336">
      <formula>BG14&lt;&gt;""</formula>
    </cfRule>
  </conditionalFormatting>
  <conditionalFormatting sqref="BK16">
    <cfRule type="cellIs" dxfId="1350" priority="1324" operator="equal">
      <formula>" "</formula>
    </cfRule>
    <cfRule type="expression" dxfId="1349" priority="1330">
      <formula>OR(BF16="Sa",BF16="Di",BH16="F")</formula>
    </cfRule>
    <cfRule type="expression" dxfId="1348" priority="1331">
      <formula>BF16&lt;&gt;""</formula>
    </cfRule>
  </conditionalFormatting>
  <conditionalFormatting sqref="BI16">
    <cfRule type="cellIs" dxfId="1347" priority="1328" operator="equal">
      <formula>" "</formula>
    </cfRule>
    <cfRule type="expression" dxfId="1346" priority="1329">
      <formula>OR(BF16="Sa",BF16="Di",BH16="F")</formula>
    </cfRule>
    <cfRule type="expression" dxfId="1345" priority="1332">
      <formula>BF16&lt;&gt;""</formula>
    </cfRule>
  </conditionalFormatting>
  <conditionalFormatting sqref="BJ16">
    <cfRule type="cellIs" dxfId="1344" priority="1325" operator="equal">
      <formula>" "</formula>
    </cfRule>
    <cfRule type="expression" dxfId="1343" priority="1326">
      <formula>OR(BF16="Sa",BF16="Di",BH16="F")</formula>
    </cfRule>
    <cfRule type="expression" dxfId="1342" priority="1327">
      <formula>BG16&lt;&gt;""</formula>
    </cfRule>
  </conditionalFormatting>
  <conditionalFormatting sqref="BK18">
    <cfRule type="cellIs" dxfId="1341" priority="1315" operator="equal">
      <formula>" "</formula>
    </cfRule>
    <cfRule type="expression" dxfId="1340" priority="1321">
      <formula>OR(BF18="Sa",BF18="Di",BH18="F")</formula>
    </cfRule>
    <cfRule type="expression" dxfId="1339" priority="1322">
      <formula>BF18&lt;&gt;""</formula>
    </cfRule>
  </conditionalFormatting>
  <conditionalFormatting sqref="BI18">
    <cfRule type="cellIs" dxfId="1338" priority="1319" operator="equal">
      <formula>" "</formula>
    </cfRule>
    <cfRule type="expression" dxfId="1337" priority="1320">
      <formula>OR(BF18="Sa",BF18="Di",BH18="F")</formula>
    </cfRule>
    <cfRule type="expression" dxfId="1336" priority="1323">
      <formula>BF18&lt;&gt;""</formula>
    </cfRule>
  </conditionalFormatting>
  <conditionalFormatting sqref="BJ18">
    <cfRule type="cellIs" dxfId="1335" priority="1316" operator="equal">
      <formula>" "</formula>
    </cfRule>
    <cfRule type="expression" dxfId="1334" priority="1317">
      <formula>OR(BF18="Sa",BF18="Di",BH18="F")</formula>
    </cfRule>
    <cfRule type="expression" dxfId="1333" priority="1318">
      <formula>BG18&lt;&gt;""</formula>
    </cfRule>
  </conditionalFormatting>
  <conditionalFormatting sqref="BK20">
    <cfRule type="cellIs" dxfId="1332" priority="1306" operator="equal">
      <formula>" "</formula>
    </cfRule>
    <cfRule type="expression" dxfId="1331" priority="1312">
      <formula>OR(BF20="Sa",BF20="Di",BH20="F")</formula>
    </cfRule>
    <cfRule type="expression" dxfId="1330" priority="1313">
      <formula>BF20&lt;&gt;""</formula>
    </cfRule>
  </conditionalFormatting>
  <conditionalFormatting sqref="BI20">
    <cfRule type="cellIs" dxfId="1329" priority="1310" operator="equal">
      <formula>" "</formula>
    </cfRule>
    <cfRule type="expression" dxfId="1328" priority="1311">
      <formula>OR(BF20="Sa",BF20="Di",BH20="F")</formula>
    </cfRule>
    <cfRule type="expression" dxfId="1327" priority="1314">
      <formula>BF20&lt;&gt;""</formula>
    </cfRule>
  </conditionalFormatting>
  <conditionalFormatting sqref="BJ20">
    <cfRule type="cellIs" dxfId="1326" priority="1307" operator="equal">
      <formula>" "</formula>
    </cfRule>
    <cfRule type="expression" dxfId="1325" priority="1308">
      <formula>OR(BF20="Sa",BF20="Di",BH20="F")</formula>
    </cfRule>
    <cfRule type="expression" dxfId="1324" priority="1309">
      <formula>BG20&lt;&gt;""</formula>
    </cfRule>
  </conditionalFormatting>
  <conditionalFormatting sqref="BK22">
    <cfRule type="cellIs" dxfId="1323" priority="1297" operator="equal">
      <formula>" "</formula>
    </cfRule>
    <cfRule type="expression" dxfId="1322" priority="1303">
      <formula>OR(BF22="Sa",BF22="Di",BH22="F")</formula>
    </cfRule>
    <cfRule type="expression" dxfId="1321" priority="1304">
      <formula>BF22&lt;&gt;""</formula>
    </cfRule>
  </conditionalFormatting>
  <conditionalFormatting sqref="BI22">
    <cfRule type="cellIs" dxfId="1320" priority="1301" operator="equal">
      <formula>" "</formula>
    </cfRule>
    <cfRule type="expression" dxfId="1319" priority="1302">
      <formula>OR(BF22="Sa",BF22="Di",BH22="F")</formula>
    </cfRule>
    <cfRule type="expression" dxfId="1318" priority="1305">
      <formula>BF22&lt;&gt;""</formula>
    </cfRule>
  </conditionalFormatting>
  <conditionalFormatting sqref="BJ22">
    <cfRule type="cellIs" dxfId="1317" priority="1298" operator="equal">
      <formula>" "</formula>
    </cfRule>
    <cfRule type="expression" dxfId="1316" priority="1299">
      <formula>OR(BF22="Sa",BF22="Di",BH22="F")</formula>
    </cfRule>
    <cfRule type="expression" dxfId="1315" priority="1300">
      <formula>BG22&lt;&gt;""</formula>
    </cfRule>
  </conditionalFormatting>
  <conditionalFormatting sqref="BK24">
    <cfRule type="cellIs" dxfId="1314" priority="1288" operator="equal">
      <formula>" "</formula>
    </cfRule>
    <cfRule type="expression" dxfId="1313" priority="1294">
      <formula>OR(BF24="Sa",BF24="Di",BH24="F")</formula>
    </cfRule>
    <cfRule type="expression" dxfId="1312" priority="1295">
      <formula>BF24&lt;&gt;""</formula>
    </cfRule>
  </conditionalFormatting>
  <conditionalFormatting sqref="BI24">
    <cfRule type="cellIs" dxfId="1311" priority="1292" operator="equal">
      <formula>" "</formula>
    </cfRule>
    <cfRule type="expression" dxfId="1310" priority="1293">
      <formula>OR(BF24="Sa",BF24="Di",BH24="F")</formula>
    </cfRule>
    <cfRule type="expression" dxfId="1309" priority="1296">
      <formula>BF24&lt;&gt;""</formula>
    </cfRule>
  </conditionalFormatting>
  <conditionalFormatting sqref="BJ24">
    <cfRule type="cellIs" dxfId="1308" priority="1289" operator="equal">
      <formula>" "</formula>
    </cfRule>
    <cfRule type="expression" dxfId="1307" priority="1290">
      <formula>OR(BF24="Sa",BF24="Di",BH24="F")</formula>
    </cfRule>
    <cfRule type="expression" dxfId="1306" priority="1291">
      <formula>BG24&lt;&gt;""</formula>
    </cfRule>
  </conditionalFormatting>
  <conditionalFormatting sqref="BK26">
    <cfRule type="cellIs" dxfId="1305" priority="1279" operator="equal">
      <formula>" "</formula>
    </cfRule>
    <cfRule type="expression" dxfId="1304" priority="1285">
      <formula>OR(BF26="Sa",BF26="Di",BH26="F")</formula>
    </cfRule>
    <cfRule type="expression" dxfId="1303" priority="1286">
      <formula>BF26&lt;&gt;""</formula>
    </cfRule>
  </conditionalFormatting>
  <conditionalFormatting sqref="BI26">
    <cfRule type="cellIs" dxfId="1302" priority="1283" operator="equal">
      <formula>" "</formula>
    </cfRule>
    <cfRule type="expression" dxfId="1301" priority="1284">
      <formula>OR(BF26="Sa",BF26="Di",BH26="F")</formula>
    </cfRule>
    <cfRule type="expression" dxfId="1300" priority="1287">
      <formula>BF26&lt;&gt;""</formula>
    </cfRule>
  </conditionalFormatting>
  <conditionalFormatting sqref="BJ26">
    <cfRule type="cellIs" dxfId="1299" priority="1280" operator="equal">
      <formula>" "</formula>
    </cfRule>
    <cfRule type="expression" dxfId="1298" priority="1281">
      <formula>OR(BF26="Sa",BF26="Di",BH26="F")</formula>
    </cfRule>
    <cfRule type="expression" dxfId="1297" priority="1282">
      <formula>BG26&lt;&gt;""</formula>
    </cfRule>
  </conditionalFormatting>
  <conditionalFormatting sqref="BK28">
    <cfRule type="cellIs" dxfId="1296" priority="1270" operator="equal">
      <formula>" "</formula>
    </cfRule>
    <cfRule type="expression" dxfId="1295" priority="1276">
      <formula>OR(BF28="Sa",BF28="Di",BH28="F")</formula>
    </cfRule>
    <cfRule type="expression" dxfId="1294" priority="1277">
      <formula>BF28&lt;&gt;""</formula>
    </cfRule>
  </conditionalFormatting>
  <conditionalFormatting sqref="BI28">
    <cfRule type="cellIs" dxfId="1293" priority="1274" operator="equal">
      <formula>" "</formula>
    </cfRule>
    <cfRule type="expression" dxfId="1292" priority="1275">
      <formula>OR(BF28="Sa",BF28="Di",BH28="F")</formula>
    </cfRule>
    <cfRule type="expression" dxfId="1291" priority="1278">
      <formula>BF28&lt;&gt;""</formula>
    </cfRule>
  </conditionalFormatting>
  <conditionalFormatting sqref="BJ28">
    <cfRule type="cellIs" dxfId="1290" priority="1271" operator="equal">
      <formula>" "</formula>
    </cfRule>
    <cfRule type="expression" dxfId="1289" priority="1272">
      <formula>OR(BF28="Sa",BF28="Di",BH28="F")</formula>
    </cfRule>
    <cfRule type="expression" dxfId="1288" priority="1273">
      <formula>BG28&lt;&gt;""</formula>
    </cfRule>
  </conditionalFormatting>
  <conditionalFormatting sqref="BK30">
    <cfRule type="cellIs" dxfId="1287" priority="1261" operator="equal">
      <formula>" "</formula>
    </cfRule>
    <cfRule type="expression" dxfId="1286" priority="1267">
      <formula>OR(BF30="Sa",BF30="Di",BH30="F")</formula>
    </cfRule>
    <cfRule type="expression" dxfId="1285" priority="1268">
      <formula>BF30&lt;&gt;""</formula>
    </cfRule>
  </conditionalFormatting>
  <conditionalFormatting sqref="BI30">
    <cfRule type="cellIs" dxfId="1284" priority="1265" operator="equal">
      <formula>" "</formula>
    </cfRule>
    <cfRule type="expression" dxfId="1283" priority="1266">
      <formula>OR(BF30="Sa",BF30="Di",BH30="F")</formula>
    </cfRule>
    <cfRule type="expression" dxfId="1282" priority="1269">
      <formula>BF30&lt;&gt;""</formula>
    </cfRule>
  </conditionalFormatting>
  <conditionalFormatting sqref="BJ30">
    <cfRule type="cellIs" dxfId="1281" priority="1262" operator="equal">
      <formula>" "</formula>
    </cfRule>
    <cfRule type="expression" dxfId="1280" priority="1263">
      <formula>OR(BF30="Sa",BF30="Di",BH30="F")</formula>
    </cfRule>
    <cfRule type="expression" dxfId="1279" priority="1264">
      <formula>BG30&lt;&gt;""</formula>
    </cfRule>
  </conditionalFormatting>
  <conditionalFormatting sqref="BK32">
    <cfRule type="cellIs" dxfId="1278" priority="1252" operator="equal">
      <formula>" "</formula>
    </cfRule>
    <cfRule type="expression" dxfId="1277" priority="1258">
      <formula>OR(BF32="Sa",BF32="Di",BH32="F")</formula>
    </cfRule>
    <cfRule type="expression" dxfId="1276" priority="1259">
      <formula>BF32&lt;&gt;""</formula>
    </cfRule>
  </conditionalFormatting>
  <conditionalFormatting sqref="BI32">
    <cfRule type="cellIs" dxfId="1275" priority="1256" operator="equal">
      <formula>" "</formula>
    </cfRule>
    <cfRule type="expression" dxfId="1274" priority="1257">
      <formula>OR(BF32="Sa",BF32="Di",BH32="F")</formula>
    </cfRule>
    <cfRule type="expression" dxfId="1273" priority="1260">
      <formula>BF32&lt;&gt;""</formula>
    </cfRule>
  </conditionalFormatting>
  <conditionalFormatting sqref="BJ32">
    <cfRule type="cellIs" dxfId="1272" priority="1253" operator="equal">
      <formula>" "</formula>
    </cfRule>
    <cfRule type="expression" dxfId="1271" priority="1254">
      <formula>OR(BF32="Sa",BF32="Di",BH32="F")</formula>
    </cfRule>
    <cfRule type="expression" dxfId="1270" priority="1255">
      <formula>BG32&lt;&gt;""</formula>
    </cfRule>
  </conditionalFormatting>
  <conditionalFormatting sqref="BK38">
    <cfRule type="cellIs" dxfId="1269" priority="1225" operator="equal">
      <formula>" "</formula>
    </cfRule>
    <cfRule type="expression" dxfId="1268" priority="1231">
      <formula>OR(BF38="Sa",BF38="Di",BH38="F")</formula>
    </cfRule>
    <cfRule type="expression" dxfId="1267" priority="1232">
      <formula>BF38&lt;&gt;""</formula>
    </cfRule>
  </conditionalFormatting>
  <conditionalFormatting sqref="BI38">
    <cfRule type="cellIs" dxfId="1266" priority="1229" operator="equal">
      <formula>" "</formula>
    </cfRule>
    <cfRule type="expression" dxfId="1265" priority="1230">
      <formula>OR(BF38="Sa",BF38="Di",BH38="F")</formula>
    </cfRule>
    <cfRule type="expression" dxfId="1264" priority="1233">
      <formula>BF38&lt;&gt;""</formula>
    </cfRule>
  </conditionalFormatting>
  <conditionalFormatting sqref="BJ38">
    <cfRule type="cellIs" dxfId="1263" priority="1226" operator="equal">
      <formula>" "</formula>
    </cfRule>
    <cfRule type="expression" dxfId="1262" priority="1227">
      <formula>OR(BF38="Sa",BF38="Di",BH38="F")</formula>
    </cfRule>
    <cfRule type="expression" dxfId="1261" priority="1228">
      <formula>BG38&lt;&gt;""</formula>
    </cfRule>
  </conditionalFormatting>
  <conditionalFormatting sqref="BK40">
    <cfRule type="cellIs" dxfId="1260" priority="1216" operator="equal">
      <formula>" "</formula>
    </cfRule>
    <cfRule type="expression" dxfId="1259" priority="1222">
      <formula>OR(BF40="Sa",BF40="Di",BH40="F")</formula>
    </cfRule>
    <cfRule type="expression" dxfId="1258" priority="1223">
      <formula>BF40&lt;&gt;""</formula>
    </cfRule>
  </conditionalFormatting>
  <conditionalFormatting sqref="BI40">
    <cfRule type="cellIs" dxfId="1257" priority="1220" operator="equal">
      <formula>" "</formula>
    </cfRule>
    <cfRule type="expression" dxfId="1256" priority="1221">
      <formula>OR(BF40="Sa",BF40="Di",BH40="F")</formula>
    </cfRule>
    <cfRule type="expression" dxfId="1255" priority="1224">
      <formula>BF40&lt;&gt;""</formula>
    </cfRule>
  </conditionalFormatting>
  <conditionalFormatting sqref="BJ40">
    <cfRule type="cellIs" dxfId="1254" priority="1217" operator="equal">
      <formula>" "</formula>
    </cfRule>
    <cfRule type="expression" dxfId="1253" priority="1218">
      <formula>OR(BF40="Sa",BF40="Di",BH40="F")</formula>
    </cfRule>
    <cfRule type="expression" dxfId="1252" priority="1219">
      <formula>BG40&lt;&gt;""</formula>
    </cfRule>
  </conditionalFormatting>
  <conditionalFormatting sqref="BK42">
    <cfRule type="cellIs" dxfId="1251" priority="1207" operator="equal">
      <formula>" "</formula>
    </cfRule>
    <cfRule type="expression" dxfId="1250" priority="1213">
      <formula>OR(BF42="Sa",BF42="Di",BH42="F")</formula>
    </cfRule>
    <cfRule type="expression" dxfId="1249" priority="1214">
      <formula>BF42&lt;&gt;""</formula>
    </cfRule>
  </conditionalFormatting>
  <conditionalFormatting sqref="BI42">
    <cfRule type="cellIs" dxfId="1248" priority="1211" operator="equal">
      <formula>" "</formula>
    </cfRule>
    <cfRule type="expression" dxfId="1247" priority="1212">
      <formula>OR(BF42="Sa",BF42="Di",BH42="F")</formula>
    </cfRule>
    <cfRule type="expression" dxfId="1246" priority="1215">
      <formula>BF42&lt;&gt;""</formula>
    </cfRule>
  </conditionalFormatting>
  <conditionalFormatting sqref="BJ42">
    <cfRule type="cellIs" dxfId="1245" priority="1208" operator="equal">
      <formula>" "</formula>
    </cfRule>
    <cfRule type="expression" dxfId="1244" priority="1209">
      <formula>OR(BF42="Sa",BF42="Di",BH42="F")</formula>
    </cfRule>
    <cfRule type="expression" dxfId="1243" priority="1210">
      <formula>BG42&lt;&gt;""</formula>
    </cfRule>
  </conditionalFormatting>
  <conditionalFormatting sqref="BK44">
    <cfRule type="cellIs" dxfId="1242" priority="1198" operator="equal">
      <formula>" "</formula>
    </cfRule>
    <cfRule type="expression" dxfId="1241" priority="1204">
      <formula>OR(BF44="Sa",BF44="Di",BH44="F")</formula>
    </cfRule>
    <cfRule type="expression" dxfId="1240" priority="1205">
      <formula>BF44&lt;&gt;""</formula>
    </cfRule>
  </conditionalFormatting>
  <conditionalFormatting sqref="BI44">
    <cfRule type="cellIs" dxfId="1239" priority="1202" operator="equal">
      <formula>" "</formula>
    </cfRule>
    <cfRule type="expression" dxfId="1238" priority="1203">
      <formula>OR(BF44="Sa",BF44="Di",BH44="F")</formula>
    </cfRule>
    <cfRule type="expression" dxfId="1237" priority="1206">
      <formula>BF44&lt;&gt;""</formula>
    </cfRule>
  </conditionalFormatting>
  <conditionalFormatting sqref="BJ44">
    <cfRule type="cellIs" dxfId="1236" priority="1199" operator="equal">
      <formula>" "</formula>
    </cfRule>
    <cfRule type="expression" dxfId="1235" priority="1200">
      <formula>OR(BF44="Sa",BF44="Di",BH44="F")</formula>
    </cfRule>
    <cfRule type="expression" dxfId="1234" priority="1201">
      <formula>BG44&lt;&gt;""</formula>
    </cfRule>
  </conditionalFormatting>
  <conditionalFormatting sqref="BK46">
    <cfRule type="cellIs" dxfId="1233" priority="1189" operator="equal">
      <formula>" "</formula>
    </cfRule>
    <cfRule type="expression" dxfId="1232" priority="1195">
      <formula>OR(BF46="Sa",BF46="Di",BH46="F")</formula>
    </cfRule>
    <cfRule type="expression" dxfId="1231" priority="1196">
      <formula>BF46&lt;&gt;""</formula>
    </cfRule>
  </conditionalFormatting>
  <conditionalFormatting sqref="BI46">
    <cfRule type="cellIs" dxfId="1230" priority="1193" operator="equal">
      <formula>" "</formula>
    </cfRule>
    <cfRule type="expression" dxfId="1229" priority="1194">
      <formula>OR(BF46="Sa",BF46="Di",BH46="F")</formula>
    </cfRule>
    <cfRule type="expression" dxfId="1228" priority="1197">
      <formula>BF46&lt;&gt;""</formula>
    </cfRule>
  </conditionalFormatting>
  <conditionalFormatting sqref="BJ46">
    <cfRule type="cellIs" dxfId="1227" priority="1190" operator="equal">
      <formula>" "</formula>
    </cfRule>
    <cfRule type="expression" dxfId="1226" priority="1191">
      <formula>OR(BF46="Sa",BF46="Di",BH46="F")</formula>
    </cfRule>
    <cfRule type="expression" dxfId="1225" priority="1192">
      <formula>BG46&lt;&gt;""</formula>
    </cfRule>
  </conditionalFormatting>
  <conditionalFormatting sqref="BK48">
    <cfRule type="cellIs" dxfId="1224" priority="1180" operator="equal">
      <formula>" "</formula>
    </cfRule>
    <cfRule type="expression" dxfId="1223" priority="1186">
      <formula>OR(BF48="Sa",BF48="Di",BH48="F")</formula>
    </cfRule>
    <cfRule type="expression" dxfId="1222" priority="1187">
      <formula>BF48&lt;&gt;""</formula>
    </cfRule>
  </conditionalFormatting>
  <conditionalFormatting sqref="BI48">
    <cfRule type="cellIs" dxfId="1221" priority="1184" operator="equal">
      <formula>" "</formula>
    </cfRule>
    <cfRule type="expression" dxfId="1220" priority="1185">
      <formula>OR(BF48="Sa",BF48="Di",BH48="F")</formula>
    </cfRule>
    <cfRule type="expression" dxfId="1219" priority="1188">
      <formula>BF48&lt;&gt;""</formula>
    </cfRule>
  </conditionalFormatting>
  <conditionalFormatting sqref="BJ48">
    <cfRule type="cellIs" dxfId="1218" priority="1181" operator="equal">
      <formula>" "</formula>
    </cfRule>
    <cfRule type="expression" dxfId="1217" priority="1182">
      <formula>OR(BF48="Sa",BF48="Di",BH48="F")</formula>
    </cfRule>
    <cfRule type="expression" dxfId="1216" priority="1183">
      <formula>BG48&lt;&gt;""</formula>
    </cfRule>
  </conditionalFormatting>
  <conditionalFormatting sqref="BK50">
    <cfRule type="cellIs" dxfId="1215" priority="1171" operator="equal">
      <formula>" "</formula>
    </cfRule>
    <cfRule type="expression" dxfId="1214" priority="1177">
      <formula>OR(BF50="Sa",BF50="Di",BH50="F")</formula>
    </cfRule>
    <cfRule type="expression" dxfId="1213" priority="1178">
      <formula>BF50&lt;&gt;""</formula>
    </cfRule>
  </conditionalFormatting>
  <conditionalFormatting sqref="BI50">
    <cfRule type="cellIs" dxfId="1212" priority="1175" operator="equal">
      <formula>" "</formula>
    </cfRule>
    <cfRule type="expression" dxfId="1211" priority="1176">
      <formula>OR(BF50="Sa",BF50="Di",BH50="F")</formula>
    </cfRule>
    <cfRule type="expression" dxfId="1210" priority="1179">
      <formula>BF50&lt;&gt;""</formula>
    </cfRule>
  </conditionalFormatting>
  <conditionalFormatting sqref="BJ50">
    <cfRule type="cellIs" dxfId="1209" priority="1172" operator="equal">
      <formula>" "</formula>
    </cfRule>
    <cfRule type="expression" dxfId="1208" priority="1173">
      <formula>OR(BF50="Sa",BF50="Di",BH50="F")</formula>
    </cfRule>
    <cfRule type="expression" dxfId="1207" priority="1174">
      <formula>BG50&lt;&gt;""</formula>
    </cfRule>
  </conditionalFormatting>
  <conditionalFormatting sqref="BK52">
    <cfRule type="cellIs" dxfId="1206" priority="1162" operator="equal">
      <formula>" "</formula>
    </cfRule>
    <cfRule type="expression" dxfId="1205" priority="1168">
      <formula>OR(BF52="Sa",BF52="Di",BH52="F")</formula>
    </cfRule>
    <cfRule type="expression" dxfId="1204" priority="1169">
      <formula>BF52&lt;&gt;""</formula>
    </cfRule>
  </conditionalFormatting>
  <conditionalFormatting sqref="BI52">
    <cfRule type="cellIs" dxfId="1203" priority="1166" operator="equal">
      <formula>" "</formula>
    </cfRule>
    <cfRule type="expression" dxfId="1202" priority="1167">
      <formula>OR(BF52="Sa",BF52="Di",BH52="F")</formula>
    </cfRule>
    <cfRule type="expression" dxfId="1201" priority="1170">
      <formula>BF52&lt;&gt;""</formula>
    </cfRule>
  </conditionalFormatting>
  <conditionalFormatting sqref="BJ52">
    <cfRule type="cellIs" dxfId="1200" priority="1163" operator="equal">
      <formula>" "</formula>
    </cfRule>
    <cfRule type="expression" dxfId="1199" priority="1164">
      <formula>OR(BF52="Sa",BF52="Di",BH52="F")</formula>
    </cfRule>
    <cfRule type="expression" dxfId="1198" priority="1165">
      <formula>BG52&lt;&gt;""</formula>
    </cfRule>
  </conditionalFormatting>
  <conditionalFormatting sqref="BK54">
    <cfRule type="cellIs" dxfId="1197" priority="1153" operator="equal">
      <formula>" "</formula>
    </cfRule>
    <cfRule type="expression" dxfId="1196" priority="1159">
      <formula>OR(BF54="Sa",BF54="Di",BH54="F")</formula>
    </cfRule>
    <cfRule type="expression" dxfId="1195" priority="1160">
      <formula>BF54&lt;&gt;""</formula>
    </cfRule>
  </conditionalFormatting>
  <conditionalFormatting sqref="BI54">
    <cfRule type="cellIs" dxfId="1194" priority="1157" operator="equal">
      <formula>" "</formula>
    </cfRule>
    <cfRule type="expression" dxfId="1193" priority="1158">
      <formula>OR(BF54="Sa",BF54="Di",BH54="F")</formula>
    </cfRule>
    <cfRule type="expression" dxfId="1192" priority="1161">
      <formula>BF54&lt;&gt;""</formula>
    </cfRule>
  </conditionalFormatting>
  <conditionalFormatting sqref="BJ54">
    <cfRule type="cellIs" dxfId="1191" priority="1154" operator="equal">
      <formula>" "</formula>
    </cfRule>
    <cfRule type="expression" dxfId="1190" priority="1155">
      <formula>OR(BF54="Sa",BF54="Di",BH54="F")</formula>
    </cfRule>
    <cfRule type="expression" dxfId="1189" priority="1156">
      <formula>BG54&lt;&gt;""</formula>
    </cfRule>
  </conditionalFormatting>
  <conditionalFormatting sqref="BK56">
    <cfRule type="cellIs" dxfId="1188" priority="1144" operator="equal">
      <formula>" "</formula>
    </cfRule>
    <cfRule type="expression" dxfId="1187" priority="1150">
      <formula>OR(BF56="Sa",BF56="Di",BH56="F")</formula>
    </cfRule>
    <cfRule type="expression" dxfId="1186" priority="1151">
      <formula>BF56&lt;&gt;""</formula>
    </cfRule>
  </conditionalFormatting>
  <conditionalFormatting sqref="BI56">
    <cfRule type="cellIs" dxfId="1185" priority="1148" operator="equal">
      <formula>" "</formula>
    </cfRule>
    <cfRule type="expression" dxfId="1184" priority="1149">
      <formula>OR(BF56="Sa",BF56="Di",BH56="F")</formula>
    </cfRule>
    <cfRule type="expression" dxfId="1183" priority="1152">
      <formula>BF56&lt;&gt;""</formula>
    </cfRule>
  </conditionalFormatting>
  <conditionalFormatting sqref="BJ56">
    <cfRule type="cellIs" dxfId="1182" priority="1145" operator="equal">
      <formula>" "</formula>
    </cfRule>
    <cfRule type="expression" dxfId="1181" priority="1146">
      <formula>OR(BF56="Sa",BF56="Di",BH56="F")</formula>
    </cfRule>
    <cfRule type="expression" dxfId="1180" priority="1147">
      <formula>BG56&lt;&gt;""</formula>
    </cfRule>
  </conditionalFormatting>
  <conditionalFormatting sqref="BK58">
    <cfRule type="cellIs" dxfId="1179" priority="1135" operator="equal">
      <formula>" "</formula>
    </cfRule>
    <cfRule type="expression" dxfId="1178" priority="1141">
      <formula>OR(BF58="Sa",BF58="Di",BH58="F")</formula>
    </cfRule>
    <cfRule type="expression" dxfId="1177" priority="1142">
      <formula>BF58&lt;&gt;""</formula>
    </cfRule>
  </conditionalFormatting>
  <conditionalFormatting sqref="BI58">
    <cfRule type="cellIs" dxfId="1176" priority="1139" operator="equal">
      <formula>" "</formula>
    </cfRule>
    <cfRule type="expression" dxfId="1175" priority="1140">
      <formula>OR(BF58="Sa",BF58="Di",BH58="F")</formula>
    </cfRule>
    <cfRule type="expression" dxfId="1174" priority="1143">
      <formula>BF58&lt;&gt;""</formula>
    </cfRule>
  </conditionalFormatting>
  <conditionalFormatting sqref="BJ58">
    <cfRule type="cellIs" dxfId="1173" priority="1136" operator="equal">
      <formula>" "</formula>
    </cfRule>
    <cfRule type="expression" dxfId="1172" priority="1137">
      <formula>OR(BF58="Sa",BF58="Di",BH58="F")</formula>
    </cfRule>
    <cfRule type="expression" dxfId="1171" priority="1138">
      <formula>BG58&lt;&gt;""</formula>
    </cfRule>
  </conditionalFormatting>
  <conditionalFormatting sqref="BK60">
    <cfRule type="cellIs" dxfId="1170" priority="1126" operator="equal">
      <formula>" "</formula>
    </cfRule>
    <cfRule type="expression" dxfId="1169" priority="1132">
      <formula>OR(BF60="Sa",BF60="Di",BH60="F")</formula>
    </cfRule>
    <cfRule type="expression" dxfId="1168" priority="1133">
      <formula>BF60&lt;&gt;""</formula>
    </cfRule>
  </conditionalFormatting>
  <conditionalFormatting sqref="BI60">
    <cfRule type="cellIs" dxfId="1167" priority="1130" operator="equal">
      <formula>" "</formula>
    </cfRule>
    <cfRule type="expression" dxfId="1166" priority="1131">
      <formula>OR(BF60="Sa",BF60="Di",BH60="F")</formula>
    </cfRule>
    <cfRule type="expression" dxfId="1165" priority="1134">
      <formula>BF60&lt;&gt;""</formula>
    </cfRule>
  </conditionalFormatting>
  <conditionalFormatting sqref="BJ60">
    <cfRule type="cellIs" dxfId="1164" priority="1127" operator="equal">
      <formula>" "</formula>
    </cfRule>
    <cfRule type="expression" dxfId="1163" priority="1128">
      <formula>OR(BF60="Sa",BF60="Di",BH60="F")</formula>
    </cfRule>
    <cfRule type="expression" dxfId="1162" priority="1129">
      <formula>BG60&lt;&gt;""</formula>
    </cfRule>
  </conditionalFormatting>
  <conditionalFormatting sqref="BK62">
    <cfRule type="cellIs" dxfId="1161" priority="1117" operator="equal">
      <formula>" "</formula>
    </cfRule>
    <cfRule type="expression" dxfId="1160" priority="1123">
      <formula>OR(BF62="Sa",BF62="Di",BH62="F")</formula>
    </cfRule>
    <cfRule type="expression" dxfId="1159" priority="1124">
      <formula>BF62&lt;&gt;""</formula>
    </cfRule>
  </conditionalFormatting>
  <conditionalFormatting sqref="BI62">
    <cfRule type="cellIs" dxfId="1158" priority="1121" operator="equal">
      <formula>" "</formula>
    </cfRule>
    <cfRule type="expression" dxfId="1157" priority="1122">
      <formula>OR(BF62="Sa",BF62="Di",BH62="F")</formula>
    </cfRule>
    <cfRule type="expression" dxfId="1156" priority="1125">
      <formula>BF62&lt;&gt;""</formula>
    </cfRule>
  </conditionalFormatting>
  <conditionalFormatting sqref="BJ62">
    <cfRule type="cellIs" dxfId="1155" priority="1118" operator="equal">
      <formula>" "</formula>
    </cfRule>
    <cfRule type="expression" dxfId="1154" priority="1119">
      <formula>OR(BF62="Sa",BF62="Di",BH62="F")</formula>
    </cfRule>
    <cfRule type="expression" dxfId="1153" priority="1120">
      <formula>BG62&lt;&gt;""</formula>
    </cfRule>
  </conditionalFormatting>
  <conditionalFormatting sqref="BK64">
    <cfRule type="cellIs" dxfId="1152" priority="1108" operator="equal">
      <formula>" "</formula>
    </cfRule>
    <cfRule type="expression" dxfId="1151" priority="1114">
      <formula>OR(BF64="Sa",BF64="Di",BH64="F")</formula>
    </cfRule>
    <cfRule type="expression" dxfId="1150" priority="1115">
      <formula>BF64&lt;&gt;""</formula>
    </cfRule>
  </conditionalFormatting>
  <conditionalFormatting sqref="BI64">
    <cfRule type="cellIs" dxfId="1149" priority="1112" operator="equal">
      <formula>" "</formula>
    </cfRule>
    <cfRule type="expression" dxfId="1148" priority="1113">
      <formula>OR(BF64="Sa",BF64="Di",BH64="F")</formula>
    </cfRule>
    <cfRule type="expression" dxfId="1147" priority="1116">
      <formula>BF64&lt;&gt;""</formula>
    </cfRule>
  </conditionalFormatting>
  <conditionalFormatting sqref="BJ64">
    <cfRule type="cellIs" dxfId="1146" priority="1109" operator="equal">
      <formula>" "</formula>
    </cfRule>
    <cfRule type="expression" dxfId="1145" priority="1110">
      <formula>OR(BF64="Sa",BF64="Di",BH64="F")</formula>
    </cfRule>
    <cfRule type="expression" dxfId="1144" priority="1111">
      <formula>BG64&lt;&gt;""</formula>
    </cfRule>
  </conditionalFormatting>
  <conditionalFormatting sqref="BK66">
    <cfRule type="cellIs" dxfId="1143" priority="1099" operator="equal">
      <formula>" "</formula>
    </cfRule>
    <cfRule type="expression" dxfId="1142" priority="1105">
      <formula>OR(BF66="Sa",BF66="Di",BH66="F")</formula>
    </cfRule>
    <cfRule type="expression" dxfId="1141" priority="1106">
      <formula>BF66&lt;&gt;""</formula>
    </cfRule>
  </conditionalFormatting>
  <conditionalFormatting sqref="BI66">
    <cfRule type="cellIs" dxfId="1140" priority="1103" operator="equal">
      <formula>" "</formula>
    </cfRule>
    <cfRule type="expression" dxfId="1139" priority="1104">
      <formula>OR(BF66="Sa",BF66="Di",BH66="F")</formula>
    </cfRule>
    <cfRule type="expression" dxfId="1138" priority="1107">
      <formula>BF66&lt;&gt;""</formula>
    </cfRule>
  </conditionalFormatting>
  <conditionalFormatting sqref="BJ66">
    <cfRule type="cellIs" dxfId="1137" priority="1100" operator="equal">
      <formula>" "</formula>
    </cfRule>
    <cfRule type="expression" dxfId="1136" priority="1101">
      <formula>OR(BF66="Sa",BF66="Di",BH66="F")</formula>
    </cfRule>
    <cfRule type="expression" dxfId="1135" priority="1102">
      <formula>BG66&lt;&gt;""</formula>
    </cfRule>
  </conditionalFormatting>
  <conditionalFormatting sqref="BR6">
    <cfRule type="cellIs" dxfId="1134" priority="1090" operator="equal">
      <formula>" "</formula>
    </cfRule>
    <cfRule type="expression" dxfId="1133" priority="1096">
      <formula>OR(BM6="Sa",BM6="Di",BO6="F")</formula>
    </cfRule>
    <cfRule type="expression" dxfId="1132" priority="1097">
      <formula>BM6&lt;&gt;""</formula>
    </cfRule>
  </conditionalFormatting>
  <conditionalFormatting sqref="BP6">
    <cfRule type="cellIs" dxfId="1131" priority="1094" operator="equal">
      <formula>" "</formula>
    </cfRule>
    <cfRule type="expression" dxfId="1130" priority="1095">
      <formula>OR(BM6="Sa",BM6="Di",BO6="F")</formula>
    </cfRule>
    <cfRule type="expression" dxfId="1129" priority="1098">
      <formula>BM6&lt;&gt;""</formula>
    </cfRule>
  </conditionalFormatting>
  <conditionalFormatting sqref="BQ6">
    <cfRule type="cellIs" dxfId="1128" priority="1091" operator="equal">
      <formula>" "</formula>
    </cfRule>
    <cfRule type="expression" dxfId="1127" priority="1092">
      <formula>OR(BM6="Sa",BM6="Di",BO6="F")</formula>
    </cfRule>
    <cfRule type="expression" dxfId="1126" priority="1093">
      <formula>BN6&lt;&gt;""</formula>
    </cfRule>
  </conditionalFormatting>
  <conditionalFormatting sqref="BR8">
    <cfRule type="cellIs" dxfId="1125" priority="1081" operator="equal">
      <formula>" "</formula>
    </cfRule>
    <cfRule type="expression" dxfId="1124" priority="1087">
      <formula>OR(BM8="Sa",BM8="Di",BO8="F")</formula>
    </cfRule>
    <cfRule type="expression" dxfId="1123" priority="1088">
      <formula>BM8&lt;&gt;""</formula>
    </cfRule>
  </conditionalFormatting>
  <conditionalFormatting sqref="BP8">
    <cfRule type="cellIs" dxfId="1122" priority="1085" operator="equal">
      <formula>" "</formula>
    </cfRule>
    <cfRule type="expression" dxfId="1121" priority="1086">
      <formula>OR(BM8="Sa",BM8="Di",BO8="F")</formula>
    </cfRule>
    <cfRule type="expression" dxfId="1120" priority="1089">
      <formula>BM8&lt;&gt;""</formula>
    </cfRule>
  </conditionalFormatting>
  <conditionalFormatting sqref="BQ8">
    <cfRule type="cellIs" dxfId="1119" priority="1082" operator="equal">
      <formula>" "</formula>
    </cfRule>
    <cfRule type="expression" dxfId="1118" priority="1083">
      <formula>OR(BM8="Sa",BM8="Di",BO8="F")</formula>
    </cfRule>
    <cfRule type="expression" dxfId="1117" priority="1084">
      <formula>BN8&lt;&gt;""</formula>
    </cfRule>
  </conditionalFormatting>
  <conditionalFormatting sqref="BR10">
    <cfRule type="cellIs" dxfId="1116" priority="1072" operator="equal">
      <formula>" "</formula>
    </cfRule>
    <cfRule type="expression" dxfId="1115" priority="1078">
      <formula>OR(BM10="Sa",BM10="Di",BO10="F")</formula>
    </cfRule>
    <cfRule type="expression" dxfId="1114" priority="1079">
      <formula>BM10&lt;&gt;""</formula>
    </cfRule>
  </conditionalFormatting>
  <conditionalFormatting sqref="BP10">
    <cfRule type="cellIs" dxfId="1113" priority="1076" operator="equal">
      <formula>" "</formula>
    </cfRule>
    <cfRule type="expression" dxfId="1112" priority="1077">
      <formula>OR(BM10="Sa",BM10="Di",BO10="F")</formula>
    </cfRule>
    <cfRule type="expression" dxfId="1111" priority="1080">
      <formula>BM10&lt;&gt;""</formula>
    </cfRule>
  </conditionalFormatting>
  <conditionalFormatting sqref="BQ10">
    <cfRule type="cellIs" dxfId="1110" priority="1073" operator="equal">
      <formula>" "</formula>
    </cfRule>
    <cfRule type="expression" dxfId="1109" priority="1074">
      <formula>OR(BM10="Sa",BM10="Di",BO10="F")</formula>
    </cfRule>
    <cfRule type="expression" dxfId="1108" priority="1075">
      <formula>BN10&lt;&gt;""</formula>
    </cfRule>
  </conditionalFormatting>
  <conditionalFormatting sqref="BR12">
    <cfRule type="cellIs" dxfId="1107" priority="1063" operator="equal">
      <formula>" "</formula>
    </cfRule>
    <cfRule type="expression" dxfId="1106" priority="1069">
      <formula>OR(BM12="Sa",BM12="Di",BO12="F")</formula>
    </cfRule>
    <cfRule type="expression" dxfId="1105" priority="1070">
      <formula>BM12&lt;&gt;""</formula>
    </cfRule>
  </conditionalFormatting>
  <conditionalFormatting sqref="BP12">
    <cfRule type="cellIs" dxfId="1104" priority="1067" operator="equal">
      <formula>" "</formula>
    </cfRule>
    <cfRule type="expression" dxfId="1103" priority="1068">
      <formula>OR(BM12="Sa",BM12="Di",BO12="F")</formula>
    </cfRule>
    <cfRule type="expression" dxfId="1102" priority="1071">
      <formula>BM12&lt;&gt;""</formula>
    </cfRule>
  </conditionalFormatting>
  <conditionalFormatting sqref="BQ12">
    <cfRule type="cellIs" dxfId="1101" priority="1064" operator="equal">
      <formula>" "</formula>
    </cfRule>
    <cfRule type="expression" dxfId="1100" priority="1065">
      <formula>OR(BM12="Sa",BM12="Di",BO12="F")</formula>
    </cfRule>
    <cfRule type="expression" dxfId="1099" priority="1066">
      <formula>BN12&lt;&gt;""</formula>
    </cfRule>
  </conditionalFormatting>
  <conditionalFormatting sqref="BR14">
    <cfRule type="cellIs" dxfId="1098" priority="1054" operator="equal">
      <formula>" "</formula>
    </cfRule>
    <cfRule type="expression" dxfId="1097" priority="1060">
      <formula>OR(BM14="Sa",BM14="Di",BO14="F")</formula>
    </cfRule>
    <cfRule type="expression" dxfId="1096" priority="1061">
      <formula>BM14&lt;&gt;""</formula>
    </cfRule>
  </conditionalFormatting>
  <conditionalFormatting sqref="BP14">
    <cfRule type="cellIs" dxfId="1095" priority="1058" operator="equal">
      <formula>" "</formula>
    </cfRule>
    <cfRule type="expression" dxfId="1094" priority="1059">
      <formula>OR(BM14="Sa",BM14="Di",BO14="F")</formula>
    </cfRule>
    <cfRule type="expression" dxfId="1093" priority="1062">
      <formula>BM14&lt;&gt;""</formula>
    </cfRule>
  </conditionalFormatting>
  <conditionalFormatting sqref="BQ14">
    <cfRule type="cellIs" dxfId="1092" priority="1055" operator="equal">
      <formula>" "</formula>
    </cfRule>
    <cfRule type="expression" dxfId="1091" priority="1056">
      <formula>OR(BM14="Sa",BM14="Di",BO14="F")</formula>
    </cfRule>
    <cfRule type="expression" dxfId="1090" priority="1057">
      <formula>BN14&lt;&gt;""</formula>
    </cfRule>
  </conditionalFormatting>
  <conditionalFormatting sqref="BR16">
    <cfRule type="cellIs" dxfId="1089" priority="1045" operator="equal">
      <formula>" "</formula>
    </cfRule>
    <cfRule type="expression" dxfId="1088" priority="1051">
      <formula>OR(BM16="Sa",BM16="Di",BO16="F")</formula>
    </cfRule>
    <cfRule type="expression" dxfId="1087" priority="1052">
      <formula>BM16&lt;&gt;""</formula>
    </cfRule>
  </conditionalFormatting>
  <conditionalFormatting sqref="BP16">
    <cfRule type="cellIs" dxfId="1086" priority="1049" operator="equal">
      <formula>" "</formula>
    </cfRule>
    <cfRule type="expression" dxfId="1085" priority="1050">
      <formula>OR(BM16="Sa",BM16="Di",BO16="F")</formula>
    </cfRule>
    <cfRule type="expression" dxfId="1084" priority="1053">
      <formula>BM16&lt;&gt;""</formula>
    </cfRule>
  </conditionalFormatting>
  <conditionalFormatting sqref="BQ16">
    <cfRule type="cellIs" dxfId="1083" priority="1046" operator="equal">
      <formula>" "</formula>
    </cfRule>
    <cfRule type="expression" dxfId="1082" priority="1047">
      <formula>OR(BM16="Sa",BM16="Di",BO16="F")</formula>
    </cfRule>
    <cfRule type="expression" dxfId="1081" priority="1048">
      <formula>BN16&lt;&gt;""</formula>
    </cfRule>
  </conditionalFormatting>
  <conditionalFormatting sqref="BR18">
    <cfRule type="cellIs" dxfId="1080" priority="1036" operator="equal">
      <formula>" "</formula>
    </cfRule>
    <cfRule type="expression" dxfId="1079" priority="1042">
      <formula>OR(BM18="Sa",BM18="Di",BO18="F")</formula>
    </cfRule>
    <cfRule type="expression" dxfId="1078" priority="1043">
      <formula>BM18&lt;&gt;""</formula>
    </cfRule>
  </conditionalFormatting>
  <conditionalFormatting sqref="BP18">
    <cfRule type="cellIs" dxfId="1077" priority="1040" operator="equal">
      <formula>" "</formula>
    </cfRule>
    <cfRule type="expression" dxfId="1076" priority="1041">
      <formula>OR(BM18="Sa",BM18="Di",BO18="F")</formula>
    </cfRule>
    <cfRule type="expression" dxfId="1075" priority="1044">
      <formula>BM18&lt;&gt;""</formula>
    </cfRule>
  </conditionalFormatting>
  <conditionalFormatting sqref="BQ18">
    <cfRule type="cellIs" dxfId="1074" priority="1037" operator="equal">
      <formula>" "</formula>
    </cfRule>
    <cfRule type="expression" dxfId="1073" priority="1038">
      <formula>OR(BM18="Sa",BM18="Di",BO18="F")</formula>
    </cfRule>
    <cfRule type="expression" dxfId="1072" priority="1039">
      <formula>BN18&lt;&gt;""</formula>
    </cfRule>
  </conditionalFormatting>
  <conditionalFormatting sqref="BR20">
    <cfRule type="cellIs" dxfId="1071" priority="1027" operator="equal">
      <formula>" "</formula>
    </cfRule>
    <cfRule type="expression" dxfId="1070" priority="1033">
      <formula>OR(BM20="Sa",BM20="Di",BO20="F")</formula>
    </cfRule>
    <cfRule type="expression" dxfId="1069" priority="1034">
      <formula>BM20&lt;&gt;""</formula>
    </cfRule>
  </conditionalFormatting>
  <conditionalFormatting sqref="BP20">
    <cfRule type="cellIs" dxfId="1068" priority="1031" operator="equal">
      <formula>" "</formula>
    </cfRule>
    <cfRule type="expression" dxfId="1067" priority="1032">
      <formula>OR(BM20="Sa",BM20="Di",BO20="F")</formula>
    </cfRule>
    <cfRule type="expression" dxfId="1066" priority="1035">
      <formula>BM20&lt;&gt;""</formula>
    </cfRule>
  </conditionalFormatting>
  <conditionalFormatting sqref="BQ20">
    <cfRule type="cellIs" dxfId="1065" priority="1028" operator="equal">
      <formula>" "</formula>
    </cfRule>
    <cfRule type="expression" dxfId="1064" priority="1029">
      <formula>OR(BM20="Sa",BM20="Di",BO20="F")</formula>
    </cfRule>
    <cfRule type="expression" dxfId="1063" priority="1030">
      <formula>BN20&lt;&gt;""</formula>
    </cfRule>
  </conditionalFormatting>
  <conditionalFormatting sqref="BR22">
    <cfRule type="cellIs" dxfId="1062" priority="1018" operator="equal">
      <formula>" "</formula>
    </cfRule>
    <cfRule type="expression" dxfId="1061" priority="1024">
      <formula>OR(BM22="Sa",BM22="Di",BO22="F")</formula>
    </cfRule>
    <cfRule type="expression" dxfId="1060" priority="1025">
      <formula>BM22&lt;&gt;""</formula>
    </cfRule>
  </conditionalFormatting>
  <conditionalFormatting sqref="BP22">
    <cfRule type="cellIs" dxfId="1059" priority="1022" operator="equal">
      <formula>" "</formula>
    </cfRule>
    <cfRule type="expression" dxfId="1058" priority="1023">
      <formula>OR(BM22="Sa",BM22="Di",BO22="F")</formula>
    </cfRule>
    <cfRule type="expression" dxfId="1057" priority="1026">
      <formula>BM22&lt;&gt;""</formula>
    </cfRule>
  </conditionalFormatting>
  <conditionalFormatting sqref="BQ22">
    <cfRule type="cellIs" dxfId="1056" priority="1019" operator="equal">
      <formula>" "</formula>
    </cfRule>
    <cfRule type="expression" dxfId="1055" priority="1020">
      <formula>OR(BM22="Sa",BM22="Di",BO22="F")</formula>
    </cfRule>
    <cfRule type="expression" dxfId="1054" priority="1021">
      <formula>BN22&lt;&gt;""</formula>
    </cfRule>
  </conditionalFormatting>
  <conditionalFormatting sqref="BR24">
    <cfRule type="cellIs" dxfId="1053" priority="1009" operator="equal">
      <formula>" "</formula>
    </cfRule>
    <cfRule type="expression" dxfId="1052" priority="1015">
      <formula>OR(BM24="Sa",BM24="Di",BO24="F")</formula>
    </cfRule>
    <cfRule type="expression" dxfId="1051" priority="1016">
      <formula>BM24&lt;&gt;""</formula>
    </cfRule>
  </conditionalFormatting>
  <conditionalFormatting sqref="BP24">
    <cfRule type="cellIs" dxfId="1050" priority="1013" operator="equal">
      <formula>" "</formula>
    </cfRule>
    <cfRule type="expression" dxfId="1049" priority="1014">
      <formula>OR(BM24="Sa",BM24="Di",BO24="F")</formula>
    </cfRule>
    <cfRule type="expression" dxfId="1048" priority="1017">
      <formula>BM24&lt;&gt;""</formula>
    </cfRule>
  </conditionalFormatting>
  <conditionalFormatting sqref="BQ24">
    <cfRule type="cellIs" dxfId="1047" priority="1010" operator="equal">
      <formula>" "</formula>
    </cfRule>
    <cfRule type="expression" dxfId="1046" priority="1011">
      <formula>OR(BM24="Sa",BM24="Di",BO24="F")</formula>
    </cfRule>
    <cfRule type="expression" dxfId="1045" priority="1012">
      <formula>BN24&lt;&gt;""</formula>
    </cfRule>
  </conditionalFormatting>
  <conditionalFormatting sqref="BR26">
    <cfRule type="cellIs" dxfId="1044" priority="1000" operator="equal">
      <formula>" "</formula>
    </cfRule>
    <cfRule type="expression" dxfId="1043" priority="1006">
      <formula>OR(BM26="Sa",BM26="Di",BO26="F")</formula>
    </cfRule>
    <cfRule type="expression" dxfId="1042" priority="1007">
      <formula>BM26&lt;&gt;""</formula>
    </cfRule>
  </conditionalFormatting>
  <conditionalFormatting sqref="BP26">
    <cfRule type="cellIs" dxfId="1041" priority="1004" operator="equal">
      <formula>" "</formula>
    </cfRule>
    <cfRule type="expression" dxfId="1040" priority="1005">
      <formula>OR(BM26="Sa",BM26="Di",BO26="F")</formula>
    </cfRule>
    <cfRule type="expression" dxfId="1039" priority="1008">
      <formula>BM26&lt;&gt;""</formula>
    </cfRule>
  </conditionalFormatting>
  <conditionalFormatting sqref="BQ26">
    <cfRule type="cellIs" dxfId="1038" priority="1001" operator="equal">
      <formula>" "</formula>
    </cfRule>
    <cfRule type="expression" dxfId="1037" priority="1002">
      <formula>OR(BM26="Sa",BM26="Di",BO26="F")</formula>
    </cfRule>
    <cfRule type="expression" dxfId="1036" priority="1003">
      <formula>BN26&lt;&gt;""</formula>
    </cfRule>
  </conditionalFormatting>
  <conditionalFormatting sqref="BR28">
    <cfRule type="cellIs" dxfId="1035" priority="991" operator="equal">
      <formula>" "</formula>
    </cfRule>
    <cfRule type="expression" dxfId="1034" priority="997">
      <formula>OR(BM28="Sa",BM28="Di",BO28="F")</formula>
    </cfRule>
    <cfRule type="expression" dxfId="1033" priority="998">
      <formula>BM28&lt;&gt;""</formula>
    </cfRule>
  </conditionalFormatting>
  <conditionalFormatting sqref="BP28">
    <cfRule type="cellIs" dxfId="1032" priority="995" operator="equal">
      <formula>" "</formula>
    </cfRule>
    <cfRule type="expression" dxfId="1031" priority="996">
      <formula>OR(BM28="Sa",BM28="Di",BO28="F")</formula>
    </cfRule>
    <cfRule type="expression" dxfId="1030" priority="999">
      <formula>BM28&lt;&gt;""</formula>
    </cfRule>
  </conditionalFormatting>
  <conditionalFormatting sqref="BQ28">
    <cfRule type="cellIs" dxfId="1029" priority="992" operator="equal">
      <formula>" "</formula>
    </cfRule>
    <cfRule type="expression" dxfId="1028" priority="993">
      <formula>OR(BM28="Sa",BM28="Di",BO28="F")</formula>
    </cfRule>
    <cfRule type="expression" dxfId="1027" priority="994">
      <formula>BN28&lt;&gt;""</formula>
    </cfRule>
  </conditionalFormatting>
  <conditionalFormatting sqref="BR34">
    <cfRule type="cellIs" dxfId="1026" priority="964" operator="equal">
      <formula>" "</formula>
    </cfRule>
    <cfRule type="expression" dxfId="1025" priority="970">
      <formula>OR(BM34="Sa",BM34="Di",BO34="F")</formula>
    </cfRule>
    <cfRule type="expression" dxfId="1024" priority="971">
      <formula>BM34&lt;&gt;""</formula>
    </cfRule>
  </conditionalFormatting>
  <conditionalFormatting sqref="BP34">
    <cfRule type="cellIs" dxfId="1023" priority="968" operator="equal">
      <formula>" "</formula>
    </cfRule>
    <cfRule type="expression" dxfId="1022" priority="969">
      <formula>OR(BM34="Sa",BM34="Di",BO34="F")</formula>
    </cfRule>
    <cfRule type="expression" dxfId="1021" priority="972">
      <formula>BM34&lt;&gt;""</formula>
    </cfRule>
  </conditionalFormatting>
  <conditionalFormatting sqref="BQ34">
    <cfRule type="cellIs" dxfId="1020" priority="965" operator="equal">
      <formula>" "</formula>
    </cfRule>
    <cfRule type="expression" dxfId="1019" priority="966">
      <formula>OR(BM34="Sa",BM34="Di",BO34="F")</formula>
    </cfRule>
    <cfRule type="expression" dxfId="1018" priority="967">
      <formula>BN34&lt;&gt;""</formula>
    </cfRule>
  </conditionalFormatting>
  <conditionalFormatting sqref="BR36">
    <cfRule type="cellIs" dxfId="1017" priority="955" operator="equal">
      <formula>" "</formula>
    </cfRule>
    <cfRule type="expression" dxfId="1016" priority="961">
      <formula>OR(BM36="Sa",BM36="Di",BO36="F")</formula>
    </cfRule>
    <cfRule type="expression" dxfId="1015" priority="962">
      <formula>BM36&lt;&gt;""</formula>
    </cfRule>
  </conditionalFormatting>
  <conditionalFormatting sqref="BP36">
    <cfRule type="cellIs" dxfId="1014" priority="959" operator="equal">
      <formula>" "</formula>
    </cfRule>
    <cfRule type="expression" dxfId="1013" priority="960">
      <formula>OR(BM36="Sa",BM36="Di",BO36="F")</formula>
    </cfRule>
    <cfRule type="expression" dxfId="1012" priority="963">
      <formula>BM36&lt;&gt;""</formula>
    </cfRule>
  </conditionalFormatting>
  <conditionalFormatting sqref="BQ36">
    <cfRule type="cellIs" dxfId="1011" priority="956" operator="equal">
      <formula>" "</formula>
    </cfRule>
    <cfRule type="expression" dxfId="1010" priority="957">
      <formula>OR(BM36="Sa",BM36="Di",BO36="F")</formula>
    </cfRule>
    <cfRule type="expression" dxfId="1009" priority="958">
      <formula>BN36&lt;&gt;""</formula>
    </cfRule>
  </conditionalFormatting>
  <conditionalFormatting sqref="BR38">
    <cfRule type="cellIs" dxfId="1008" priority="946" operator="equal">
      <formula>" "</formula>
    </cfRule>
    <cfRule type="expression" dxfId="1007" priority="952">
      <formula>OR(BM38="Sa",BM38="Di",BO38="F")</formula>
    </cfRule>
    <cfRule type="expression" dxfId="1006" priority="953">
      <formula>BM38&lt;&gt;""</formula>
    </cfRule>
  </conditionalFormatting>
  <conditionalFormatting sqref="BP38">
    <cfRule type="cellIs" dxfId="1005" priority="950" operator="equal">
      <formula>" "</formula>
    </cfRule>
    <cfRule type="expression" dxfId="1004" priority="951">
      <formula>OR(BM38="Sa",BM38="Di",BO38="F")</formula>
    </cfRule>
    <cfRule type="expression" dxfId="1003" priority="954">
      <formula>BM38&lt;&gt;""</formula>
    </cfRule>
  </conditionalFormatting>
  <conditionalFormatting sqref="BQ38">
    <cfRule type="cellIs" dxfId="1002" priority="947" operator="equal">
      <formula>" "</formula>
    </cfRule>
    <cfRule type="expression" dxfId="1001" priority="948">
      <formula>OR(BM38="Sa",BM38="Di",BO38="F")</formula>
    </cfRule>
    <cfRule type="expression" dxfId="1000" priority="949">
      <formula>BN38&lt;&gt;""</formula>
    </cfRule>
  </conditionalFormatting>
  <conditionalFormatting sqref="BR40">
    <cfRule type="cellIs" dxfId="999" priority="937" operator="equal">
      <formula>" "</formula>
    </cfRule>
    <cfRule type="expression" dxfId="998" priority="943">
      <formula>OR(BM40="Sa",BM40="Di",BO40="F")</formula>
    </cfRule>
    <cfRule type="expression" dxfId="997" priority="944">
      <formula>BM40&lt;&gt;""</formula>
    </cfRule>
  </conditionalFormatting>
  <conditionalFormatting sqref="BP40">
    <cfRule type="cellIs" dxfId="996" priority="941" operator="equal">
      <formula>" "</formula>
    </cfRule>
    <cfRule type="expression" dxfId="995" priority="942">
      <formula>OR(BM40="Sa",BM40="Di",BO40="F")</formula>
    </cfRule>
    <cfRule type="expression" dxfId="994" priority="945">
      <formula>BM40&lt;&gt;""</formula>
    </cfRule>
  </conditionalFormatting>
  <conditionalFormatting sqref="BQ40">
    <cfRule type="cellIs" dxfId="993" priority="938" operator="equal">
      <formula>" "</formula>
    </cfRule>
    <cfRule type="expression" dxfId="992" priority="939">
      <formula>OR(BM40="Sa",BM40="Di",BO40="F")</formula>
    </cfRule>
    <cfRule type="expression" dxfId="991" priority="940">
      <formula>BN40&lt;&gt;""</formula>
    </cfRule>
  </conditionalFormatting>
  <conditionalFormatting sqref="BR42">
    <cfRule type="cellIs" dxfId="990" priority="928" operator="equal">
      <formula>" "</formula>
    </cfRule>
    <cfRule type="expression" dxfId="989" priority="934">
      <formula>OR(BM42="Sa",BM42="Di",BO42="F")</formula>
    </cfRule>
    <cfRule type="expression" dxfId="988" priority="935">
      <formula>BM42&lt;&gt;""</formula>
    </cfRule>
  </conditionalFormatting>
  <conditionalFormatting sqref="BP42">
    <cfRule type="cellIs" dxfId="987" priority="932" operator="equal">
      <formula>" "</formula>
    </cfRule>
    <cfRule type="expression" dxfId="986" priority="933">
      <formula>OR(BM42="Sa",BM42="Di",BO42="F")</formula>
    </cfRule>
    <cfRule type="expression" dxfId="985" priority="936">
      <formula>BM42&lt;&gt;""</formula>
    </cfRule>
  </conditionalFormatting>
  <conditionalFormatting sqref="BQ42">
    <cfRule type="cellIs" dxfId="984" priority="929" operator="equal">
      <formula>" "</formula>
    </cfRule>
    <cfRule type="expression" dxfId="983" priority="930">
      <formula>OR(BM42="Sa",BM42="Di",BO42="F")</formula>
    </cfRule>
    <cfRule type="expression" dxfId="982" priority="931">
      <formula>BN42&lt;&gt;""</formula>
    </cfRule>
  </conditionalFormatting>
  <conditionalFormatting sqref="BR44">
    <cfRule type="cellIs" dxfId="981" priority="919" operator="equal">
      <formula>" "</formula>
    </cfRule>
    <cfRule type="expression" dxfId="980" priority="925">
      <formula>OR(BM44="Sa",BM44="Di",BO44="F")</formula>
    </cfRule>
    <cfRule type="expression" dxfId="979" priority="926">
      <formula>BM44&lt;&gt;""</formula>
    </cfRule>
  </conditionalFormatting>
  <conditionalFormatting sqref="BP44">
    <cfRule type="cellIs" dxfId="978" priority="923" operator="equal">
      <formula>" "</formula>
    </cfRule>
    <cfRule type="expression" dxfId="977" priority="924">
      <formula>OR(BM44="Sa",BM44="Di",BO44="F")</formula>
    </cfRule>
    <cfRule type="expression" dxfId="976" priority="927">
      <formula>BM44&lt;&gt;""</formula>
    </cfRule>
  </conditionalFormatting>
  <conditionalFormatting sqref="BQ44">
    <cfRule type="cellIs" dxfId="975" priority="920" operator="equal">
      <formula>" "</formula>
    </cfRule>
    <cfRule type="expression" dxfId="974" priority="921">
      <formula>OR(BM44="Sa",BM44="Di",BO44="F")</formula>
    </cfRule>
    <cfRule type="expression" dxfId="973" priority="922">
      <formula>BN44&lt;&gt;""</formula>
    </cfRule>
  </conditionalFormatting>
  <conditionalFormatting sqref="BR46">
    <cfRule type="cellIs" dxfId="972" priority="910" operator="equal">
      <formula>" "</formula>
    </cfRule>
    <cfRule type="expression" dxfId="971" priority="916">
      <formula>OR(BM46="Sa",BM46="Di",BO46="F")</formula>
    </cfRule>
    <cfRule type="expression" dxfId="970" priority="917">
      <formula>BM46&lt;&gt;""</formula>
    </cfRule>
  </conditionalFormatting>
  <conditionalFormatting sqref="BP46">
    <cfRule type="cellIs" dxfId="969" priority="914" operator="equal">
      <formula>" "</formula>
    </cfRule>
    <cfRule type="expression" dxfId="968" priority="915">
      <formula>OR(BM46="Sa",BM46="Di",BO46="F")</formula>
    </cfRule>
    <cfRule type="expression" dxfId="967" priority="918">
      <formula>BM46&lt;&gt;""</formula>
    </cfRule>
  </conditionalFormatting>
  <conditionalFormatting sqref="BQ46">
    <cfRule type="cellIs" dxfId="966" priority="911" operator="equal">
      <formula>" "</formula>
    </cfRule>
    <cfRule type="expression" dxfId="965" priority="912">
      <formula>OR(BM46="Sa",BM46="Di",BO46="F")</formula>
    </cfRule>
    <cfRule type="expression" dxfId="964" priority="913">
      <formula>BN46&lt;&gt;""</formula>
    </cfRule>
  </conditionalFormatting>
  <conditionalFormatting sqref="BR48">
    <cfRule type="cellIs" dxfId="963" priority="901" operator="equal">
      <formula>" "</formula>
    </cfRule>
    <cfRule type="expression" dxfId="962" priority="907">
      <formula>OR(BM48="Sa",BM48="Di",BO48="F")</formula>
    </cfRule>
    <cfRule type="expression" dxfId="961" priority="908">
      <formula>BM48&lt;&gt;""</formula>
    </cfRule>
  </conditionalFormatting>
  <conditionalFormatting sqref="BP48">
    <cfRule type="cellIs" dxfId="960" priority="905" operator="equal">
      <formula>" "</formula>
    </cfRule>
    <cfRule type="expression" dxfId="959" priority="906">
      <formula>OR(BM48="Sa",BM48="Di",BO48="F")</formula>
    </cfRule>
    <cfRule type="expression" dxfId="958" priority="909">
      <formula>BM48&lt;&gt;""</formula>
    </cfRule>
  </conditionalFormatting>
  <conditionalFormatting sqref="BQ48">
    <cfRule type="cellIs" dxfId="957" priority="902" operator="equal">
      <formula>" "</formula>
    </cfRule>
    <cfRule type="expression" dxfId="956" priority="903">
      <formula>OR(BM48="Sa",BM48="Di",BO48="F")</formula>
    </cfRule>
    <cfRule type="expression" dxfId="955" priority="904">
      <formula>BN48&lt;&gt;""</formula>
    </cfRule>
  </conditionalFormatting>
  <conditionalFormatting sqref="BR50">
    <cfRule type="cellIs" dxfId="954" priority="892" operator="equal">
      <formula>" "</formula>
    </cfRule>
    <cfRule type="expression" dxfId="953" priority="898">
      <formula>OR(BM50="Sa",BM50="Di",BO50="F")</formula>
    </cfRule>
    <cfRule type="expression" dxfId="952" priority="899">
      <formula>BM50&lt;&gt;""</formula>
    </cfRule>
  </conditionalFormatting>
  <conditionalFormatting sqref="BP50">
    <cfRule type="cellIs" dxfId="951" priority="896" operator="equal">
      <formula>" "</formula>
    </cfRule>
    <cfRule type="expression" dxfId="950" priority="897">
      <formula>OR(BM50="Sa",BM50="Di",BO50="F")</formula>
    </cfRule>
    <cfRule type="expression" dxfId="949" priority="900">
      <formula>BM50&lt;&gt;""</formula>
    </cfRule>
  </conditionalFormatting>
  <conditionalFormatting sqref="BQ50">
    <cfRule type="cellIs" dxfId="948" priority="893" operator="equal">
      <formula>" "</formula>
    </cfRule>
    <cfRule type="expression" dxfId="947" priority="894">
      <formula>OR(BM50="Sa",BM50="Di",BO50="F")</formula>
    </cfRule>
    <cfRule type="expression" dxfId="946" priority="895">
      <formula>BN50&lt;&gt;""</formula>
    </cfRule>
  </conditionalFormatting>
  <conditionalFormatting sqref="BR52">
    <cfRule type="cellIs" dxfId="945" priority="883" operator="equal">
      <formula>" "</formula>
    </cfRule>
    <cfRule type="expression" dxfId="944" priority="889">
      <formula>OR(BM52="Sa",BM52="Di",BO52="F")</formula>
    </cfRule>
    <cfRule type="expression" dxfId="943" priority="890">
      <formula>BM52&lt;&gt;""</formula>
    </cfRule>
  </conditionalFormatting>
  <conditionalFormatting sqref="BP52">
    <cfRule type="cellIs" dxfId="942" priority="887" operator="equal">
      <formula>" "</formula>
    </cfRule>
    <cfRule type="expression" dxfId="941" priority="888">
      <formula>OR(BM52="Sa",BM52="Di",BO52="F")</formula>
    </cfRule>
    <cfRule type="expression" dxfId="940" priority="891">
      <formula>BM52&lt;&gt;""</formula>
    </cfRule>
  </conditionalFormatting>
  <conditionalFormatting sqref="BQ52">
    <cfRule type="cellIs" dxfId="939" priority="884" operator="equal">
      <formula>" "</formula>
    </cfRule>
    <cfRule type="expression" dxfId="938" priority="885">
      <formula>OR(BM52="Sa",BM52="Di",BO52="F")</formula>
    </cfRule>
    <cfRule type="expression" dxfId="937" priority="886">
      <formula>BN52&lt;&gt;""</formula>
    </cfRule>
  </conditionalFormatting>
  <conditionalFormatting sqref="BR54">
    <cfRule type="cellIs" dxfId="936" priority="874" operator="equal">
      <formula>" "</formula>
    </cfRule>
    <cfRule type="expression" dxfId="935" priority="880">
      <formula>OR(BM54="Sa",BM54="Di",BO54="F")</formula>
    </cfRule>
    <cfRule type="expression" dxfId="934" priority="881">
      <formula>BM54&lt;&gt;""</formula>
    </cfRule>
  </conditionalFormatting>
  <conditionalFormatting sqref="BP54">
    <cfRule type="cellIs" dxfId="933" priority="878" operator="equal">
      <formula>" "</formula>
    </cfRule>
    <cfRule type="expression" dxfId="932" priority="879">
      <formula>OR(BM54="Sa",BM54="Di",BO54="F")</formula>
    </cfRule>
    <cfRule type="expression" dxfId="931" priority="882">
      <formula>BM54&lt;&gt;""</formula>
    </cfRule>
  </conditionalFormatting>
  <conditionalFormatting sqref="BQ54">
    <cfRule type="cellIs" dxfId="930" priority="875" operator="equal">
      <formula>" "</formula>
    </cfRule>
    <cfRule type="expression" dxfId="929" priority="876">
      <formula>OR(BM54="Sa",BM54="Di",BO54="F")</formula>
    </cfRule>
    <cfRule type="expression" dxfId="928" priority="877">
      <formula>BN54&lt;&gt;""</formula>
    </cfRule>
  </conditionalFormatting>
  <conditionalFormatting sqref="BR56">
    <cfRule type="cellIs" dxfId="927" priority="865" operator="equal">
      <formula>" "</formula>
    </cfRule>
    <cfRule type="expression" dxfId="926" priority="871">
      <formula>OR(BM56="Sa",BM56="Di",BO56="F")</formula>
    </cfRule>
    <cfRule type="expression" dxfId="925" priority="872">
      <formula>BM56&lt;&gt;""</formula>
    </cfRule>
  </conditionalFormatting>
  <conditionalFormatting sqref="BP56">
    <cfRule type="cellIs" dxfId="924" priority="869" operator="equal">
      <formula>" "</formula>
    </cfRule>
    <cfRule type="expression" dxfId="923" priority="870">
      <formula>OR(BM56="Sa",BM56="Di",BO56="F")</formula>
    </cfRule>
    <cfRule type="expression" dxfId="922" priority="873">
      <formula>BM56&lt;&gt;""</formula>
    </cfRule>
  </conditionalFormatting>
  <conditionalFormatting sqref="BQ56">
    <cfRule type="cellIs" dxfId="921" priority="866" operator="equal">
      <formula>" "</formula>
    </cfRule>
    <cfRule type="expression" dxfId="920" priority="867">
      <formula>OR(BM56="Sa",BM56="Di",BO56="F")</formula>
    </cfRule>
    <cfRule type="expression" dxfId="919" priority="868">
      <formula>BN56&lt;&gt;""</formula>
    </cfRule>
  </conditionalFormatting>
  <conditionalFormatting sqref="BR58">
    <cfRule type="cellIs" dxfId="918" priority="856" operator="equal">
      <formula>" "</formula>
    </cfRule>
    <cfRule type="expression" dxfId="917" priority="862">
      <formula>OR(BM58="Sa",BM58="Di",BO58="F")</formula>
    </cfRule>
    <cfRule type="expression" dxfId="916" priority="863">
      <formula>BM58&lt;&gt;""</formula>
    </cfRule>
  </conditionalFormatting>
  <conditionalFormatting sqref="BP58">
    <cfRule type="cellIs" dxfId="915" priority="860" operator="equal">
      <formula>" "</formula>
    </cfRule>
    <cfRule type="expression" dxfId="914" priority="861">
      <formula>OR(BM58="Sa",BM58="Di",BO58="F")</formula>
    </cfRule>
    <cfRule type="expression" dxfId="913" priority="864">
      <formula>BM58&lt;&gt;""</formula>
    </cfRule>
  </conditionalFormatting>
  <conditionalFormatting sqref="BQ58">
    <cfRule type="cellIs" dxfId="912" priority="857" operator="equal">
      <formula>" "</formula>
    </cfRule>
    <cfRule type="expression" dxfId="911" priority="858">
      <formula>OR(BM58="Sa",BM58="Di",BO58="F")</formula>
    </cfRule>
    <cfRule type="expression" dxfId="910" priority="859">
      <formula>BN58&lt;&gt;""</formula>
    </cfRule>
  </conditionalFormatting>
  <conditionalFormatting sqref="BR60">
    <cfRule type="cellIs" dxfId="909" priority="847" operator="equal">
      <formula>" "</formula>
    </cfRule>
    <cfRule type="expression" dxfId="908" priority="853">
      <formula>OR(BM60="Sa",BM60="Di",BO60="F")</formula>
    </cfRule>
    <cfRule type="expression" dxfId="907" priority="854">
      <formula>BM60&lt;&gt;""</formula>
    </cfRule>
  </conditionalFormatting>
  <conditionalFormatting sqref="BP60">
    <cfRule type="cellIs" dxfId="906" priority="851" operator="equal">
      <formula>" "</formula>
    </cfRule>
    <cfRule type="expression" dxfId="905" priority="852">
      <formula>OR(BM60="Sa",BM60="Di",BO60="F")</formula>
    </cfRule>
    <cfRule type="expression" dxfId="904" priority="855">
      <formula>BM60&lt;&gt;""</formula>
    </cfRule>
  </conditionalFormatting>
  <conditionalFormatting sqref="BQ60">
    <cfRule type="cellIs" dxfId="903" priority="848" operator="equal">
      <formula>" "</formula>
    </cfRule>
    <cfRule type="expression" dxfId="902" priority="849">
      <formula>OR(BM60="Sa",BM60="Di",BO60="F")</formula>
    </cfRule>
    <cfRule type="expression" dxfId="901" priority="850">
      <formula>BN60&lt;&gt;""</formula>
    </cfRule>
  </conditionalFormatting>
  <conditionalFormatting sqref="BR62">
    <cfRule type="cellIs" dxfId="900" priority="838" operator="equal">
      <formula>" "</formula>
    </cfRule>
    <cfRule type="expression" dxfId="899" priority="844">
      <formula>OR(BM62="Sa",BM62="Di",BO62="F")</formula>
    </cfRule>
    <cfRule type="expression" dxfId="898" priority="845">
      <formula>BM62&lt;&gt;""</formula>
    </cfRule>
  </conditionalFormatting>
  <conditionalFormatting sqref="BP62">
    <cfRule type="cellIs" dxfId="897" priority="842" operator="equal">
      <formula>" "</formula>
    </cfRule>
    <cfRule type="expression" dxfId="896" priority="843">
      <formula>OR(BM62="Sa",BM62="Di",BO62="F")</formula>
    </cfRule>
    <cfRule type="expression" dxfId="895" priority="846">
      <formula>BM62&lt;&gt;""</formula>
    </cfRule>
  </conditionalFormatting>
  <conditionalFormatting sqref="BQ62">
    <cfRule type="cellIs" dxfId="894" priority="839" operator="equal">
      <formula>" "</formula>
    </cfRule>
    <cfRule type="expression" dxfId="893" priority="840">
      <formula>OR(BM62="Sa",BM62="Di",BO62="F")</formula>
    </cfRule>
    <cfRule type="expression" dxfId="892" priority="841">
      <formula>BN62&lt;&gt;""</formula>
    </cfRule>
  </conditionalFormatting>
  <conditionalFormatting sqref="BR64">
    <cfRule type="cellIs" dxfId="891" priority="829" operator="equal">
      <formula>" "</formula>
    </cfRule>
    <cfRule type="expression" dxfId="890" priority="835">
      <formula>OR(BM64="Sa",BM64="Di",BO64="F")</formula>
    </cfRule>
    <cfRule type="expression" dxfId="889" priority="836">
      <formula>BM64&lt;&gt;""</formula>
    </cfRule>
  </conditionalFormatting>
  <conditionalFormatting sqref="BP64">
    <cfRule type="cellIs" dxfId="888" priority="833" operator="equal">
      <formula>" "</formula>
    </cfRule>
    <cfRule type="expression" dxfId="887" priority="834">
      <formula>OR(BM64="Sa",BM64="Di",BO64="F")</formula>
    </cfRule>
    <cfRule type="expression" dxfId="886" priority="837">
      <formula>BM64&lt;&gt;""</formula>
    </cfRule>
  </conditionalFormatting>
  <conditionalFormatting sqref="BQ64">
    <cfRule type="cellIs" dxfId="885" priority="830" operator="equal">
      <formula>" "</formula>
    </cfRule>
    <cfRule type="expression" dxfId="884" priority="831">
      <formula>OR(BM64="Sa",BM64="Di",BO64="F")</formula>
    </cfRule>
    <cfRule type="expression" dxfId="883" priority="832">
      <formula>BN64&lt;&gt;""</formula>
    </cfRule>
  </conditionalFormatting>
  <conditionalFormatting sqref="BR66">
    <cfRule type="cellIs" dxfId="882" priority="820" operator="equal">
      <formula>" "</formula>
    </cfRule>
    <cfRule type="expression" dxfId="881" priority="826">
      <formula>OR(BM66="Sa",BM66="Di",BO66="F")</formula>
    </cfRule>
    <cfRule type="expression" dxfId="880" priority="827">
      <formula>BM66&lt;&gt;""</formula>
    </cfRule>
  </conditionalFormatting>
  <conditionalFormatting sqref="BP66">
    <cfRule type="cellIs" dxfId="879" priority="824" operator="equal">
      <formula>" "</formula>
    </cfRule>
    <cfRule type="expression" dxfId="878" priority="825">
      <formula>OR(BM66="Sa",BM66="Di",BO66="F")</formula>
    </cfRule>
    <cfRule type="expression" dxfId="877" priority="828">
      <formula>BM66&lt;&gt;""</formula>
    </cfRule>
  </conditionalFormatting>
  <conditionalFormatting sqref="BQ66">
    <cfRule type="cellIs" dxfId="876" priority="821" operator="equal">
      <formula>" "</formula>
    </cfRule>
    <cfRule type="expression" dxfId="875" priority="822">
      <formula>OR(BM66="Sa",BM66="Di",BO66="F")</formula>
    </cfRule>
    <cfRule type="expression" dxfId="874" priority="823">
      <formula>BN66&lt;&gt;""</formula>
    </cfRule>
  </conditionalFormatting>
  <conditionalFormatting sqref="BY6">
    <cfRule type="cellIs" dxfId="873" priority="811" operator="equal">
      <formula>" "</formula>
    </cfRule>
    <cfRule type="expression" dxfId="872" priority="817">
      <formula>OR(BT6="Sa",BT6="Di",BV6="F")</formula>
    </cfRule>
    <cfRule type="expression" dxfId="871" priority="818">
      <formula>BT6&lt;&gt;""</formula>
    </cfRule>
  </conditionalFormatting>
  <conditionalFormatting sqref="BW6">
    <cfRule type="cellIs" dxfId="870" priority="815" operator="equal">
      <formula>" "</formula>
    </cfRule>
    <cfRule type="expression" dxfId="869" priority="816">
      <formula>OR(BT6="Sa",BT6="Di",BV6="F")</formula>
    </cfRule>
    <cfRule type="expression" dxfId="868" priority="819">
      <formula>BT6&lt;&gt;""</formula>
    </cfRule>
  </conditionalFormatting>
  <conditionalFormatting sqref="BX6">
    <cfRule type="cellIs" dxfId="867" priority="812" operator="equal">
      <formula>" "</formula>
    </cfRule>
    <cfRule type="expression" dxfId="866" priority="813">
      <formula>OR(BT6="Sa",BT6="Di",BV6="F")</formula>
    </cfRule>
    <cfRule type="expression" dxfId="865" priority="814">
      <formula>BU6&lt;&gt;""</formula>
    </cfRule>
  </conditionalFormatting>
  <conditionalFormatting sqref="BY8">
    <cfRule type="cellIs" dxfId="864" priority="802" operator="equal">
      <formula>" "</formula>
    </cfRule>
    <cfRule type="expression" dxfId="863" priority="808">
      <formula>OR(BT8="Sa",BT8="Di",BV8="F")</formula>
    </cfRule>
    <cfRule type="expression" dxfId="862" priority="809">
      <formula>BT8&lt;&gt;""</formula>
    </cfRule>
  </conditionalFormatting>
  <conditionalFormatting sqref="BW8">
    <cfRule type="cellIs" dxfId="861" priority="806" operator="equal">
      <formula>" "</formula>
    </cfRule>
    <cfRule type="expression" dxfId="860" priority="807">
      <formula>OR(BT8="Sa",BT8="Di",BV8="F")</formula>
    </cfRule>
    <cfRule type="expression" dxfId="859" priority="810">
      <formula>BT8&lt;&gt;""</formula>
    </cfRule>
  </conditionalFormatting>
  <conditionalFormatting sqref="BX8">
    <cfRule type="cellIs" dxfId="858" priority="803" operator="equal">
      <formula>" "</formula>
    </cfRule>
    <cfRule type="expression" dxfId="857" priority="804">
      <formula>OR(BT8="Sa",BT8="Di",BV8="F")</formula>
    </cfRule>
    <cfRule type="expression" dxfId="856" priority="805">
      <formula>BU8&lt;&gt;""</formula>
    </cfRule>
  </conditionalFormatting>
  <conditionalFormatting sqref="BY10">
    <cfRule type="cellIs" dxfId="855" priority="793" operator="equal">
      <formula>" "</formula>
    </cfRule>
    <cfRule type="expression" dxfId="854" priority="799">
      <formula>OR(BT10="Sa",BT10="Di",BV10="F")</formula>
    </cfRule>
    <cfRule type="expression" dxfId="853" priority="800">
      <formula>BT10&lt;&gt;""</formula>
    </cfRule>
  </conditionalFormatting>
  <conditionalFormatting sqref="BW10">
    <cfRule type="cellIs" dxfId="852" priority="797" operator="equal">
      <formula>" "</formula>
    </cfRule>
    <cfRule type="expression" dxfId="851" priority="798">
      <formula>OR(BT10="Sa",BT10="Di",BV10="F")</formula>
    </cfRule>
    <cfRule type="expression" dxfId="850" priority="801">
      <formula>BT10&lt;&gt;""</formula>
    </cfRule>
  </conditionalFormatting>
  <conditionalFormatting sqref="BX10">
    <cfRule type="cellIs" dxfId="849" priority="794" operator="equal">
      <formula>" "</formula>
    </cfRule>
    <cfRule type="expression" dxfId="848" priority="795">
      <formula>OR(BT10="Sa",BT10="Di",BV10="F")</formula>
    </cfRule>
    <cfRule type="expression" dxfId="847" priority="796">
      <formula>BU10&lt;&gt;""</formula>
    </cfRule>
  </conditionalFormatting>
  <conditionalFormatting sqref="BY12">
    <cfRule type="cellIs" dxfId="846" priority="784" operator="equal">
      <formula>" "</formula>
    </cfRule>
    <cfRule type="expression" dxfId="845" priority="790">
      <formula>OR(BT12="Sa",BT12="Di",BV12="F")</formula>
    </cfRule>
    <cfRule type="expression" dxfId="844" priority="791">
      <formula>BT12&lt;&gt;""</formula>
    </cfRule>
  </conditionalFormatting>
  <conditionalFormatting sqref="BW12">
    <cfRule type="cellIs" dxfId="843" priority="788" operator="equal">
      <formula>" "</formula>
    </cfRule>
    <cfRule type="expression" dxfId="842" priority="789">
      <formula>OR(BT12="Sa",BT12="Di",BV12="F")</formula>
    </cfRule>
    <cfRule type="expression" dxfId="841" priority="792">
      <formula>BT12&lt;&gt;""</formula>
    </cfRule>
  </conditionalFormatting>
  <conditionalFormatting sqref="BX12">
    <cfRule type="cellIs" dxfId="840" priority="785" operator="equal">
      <formula>" "</formula>
    </cfRule>
    <cfRule type="expression" dxfId="839" priority="786">
      <formula>OR(BT12="Sa",BT12="Di",BV12="F")</formula>
    </cfRule>
    <cfRule type="expression" dxfId="838" priority="787">
      <formula>BU12&lt;&gt;""</formula>
    </cfRule>
  </conditionalFormatting>
  <conditionalFormatting sqref="BY14">
    <cfRule type="cellIs" dxfId="837" priority="775" operator="equal">
      <formula>" "</formula>
    </cfRule>
    <cfRule type="expression" dxfId="836" priority="781">
      <formula>OR(BT14="Sa",BT14="Di",BV14="F")</formula>
    </cfRule>
    <cfRule type="expression" dxfId="835" priority="782">
      <formula>BT14&lt;&gt;""</formula>
    </cfRule>
  </conditionalFormatting>
  <conditionalFormatting sqref="BW14">
    <cfRule type="cellIs" dxfId="834" priority="779" operator="equal">
      <formula>" "</formula>
    </cfRule>
    <cfRule type="expression" dxfId="833" priority="780">
      <formula>OR(BT14="Sa",BT14="Di",BV14="F")</formula>
    </cfRule>
    <cfRule type="expression" dxfId="832" priority="783">
      <formula>BT14&lt;&gt;""</formula>
    </cfRule>
  </conditionalFormatting>
  <conditionalFormatting sqref="BX14">
    <cfRule type="cellIs" dxfId="831" priority="776" operator="equal">
      <formula>" "</formula>
    </cfRule>
    <cfRule type="expression" dxfId="830" priority="777">
      <formula>OR(BT14="Sa",BT14="Di",BV14="F")</formula>
    </cfRule>
    <cfRule type="expression" dxfId="829" priority="778">
      <formula>BU14&lt;&gt;""</formula>
    </cfRule>
  </conditionalFormatting>
  <conditionalFormatting sqref="BY16">
    <cfRule type="cellIs" dxfId="828" priority="766" operator="equal">
      <formula>" "</formula>
    </cfRule>
    <cfRule type="expression" dxfId="827" priority="772">
      <formula>OR(BT16="Sa",BT16="Di",BV16="F")</formula>
    </cfRule>
    <cfRule type="expression" dxfId="826" priority="773">
      <formula>BT16&lt;&gt;""</formula>
    </cfRule>
  </conditionalFormatting>
  <conditionalFormatting sqref="BW16">
    <cfRule type="cellIs" dxfId="825" priority="770" operator="equal">
      <formula>" "</formula>
    </cfRule>
    <cfRule type="expression" dxfId="824" priority="771">
      <formula>OR(BT16="Sa",BT16="Di",BV16="F")</formula>
    </cfRule>
    <cfRule type="expression" dxfId="823" priority="774">
      <formula>BT16&lt;&gt;""</formula>
    </cfRule>
  </conditionalFormatting>
  <conditionalFormatting sqref="BX16">
    <cfRule type="cellIs" dxfId="822" priority="767" operator="equal">
      <formula>" "</formula>
    </cfRule>
    <cfRule type="expression" dxfId="821" priority="768">
      <formula>OR(BT16="Sa",BT16="Di",BV16="F")</formula>
    </cfRule>
    <cfRule type="expression" dxfId="820" priority="769">
      <formula>BU16&lt;&gt;""</formula>
    </cfRule>
  </conditionalFormatting>
  <conditionalFormatting sqref="BY18">
    <cfRule type="cellIs" dxfId="819" priority="757" operator="equal">
      <formula>" "</formula>
    </cfRule>
    <cfRule type="expression" dxfId="818" priority="763">
      <formula>OR(BT18="Sa",BT18="Di",BV18="F")</formula>
    </cfRule>
    <cfRule type="expression" dxfId="817" priority="764">
      <formula>BT18&lt;&gt;""</formula>
    </cfRule>
  </conditionalFormatting>
  <conditionalFormatting sqref="BW18">
    <cfRule type="cellIs" dxfId="816" priority="761" operator="equal">
      <formula>" "</formula>
    </cfRule>
    <cfRule type="expression" dxfId="815" priority="762">
      <formula>OR(BT18="Sa",BT18="Di",BV18="F")</formula>
    </cfRule>
    <cfRule type="expression" dxfId="814" priority="765">
      <formula>BT18&lt;&gt;""</formula>
    </cfRule>
  </conditionalFormatting>
  <conditionalFormatting sqref="BX18">
    <cfRule type="cellIs" dxfId="813" priority="758" operator="equal">
      <formula>" "</formula>
    </cfRule>
    <cfRule type="expression" dxfId="812" priority="759">
      <formula>OR(BT18="Sa",BT18="Di",BV18="F")</formula>
    </cfRule>
    <cfRule type="expression" dxfId="811" priority="760">
      <formula>BU18&lt;&gt;""</formula>
    </cfRule>
  </conditionalFormatting>
  <conditionalFormatting sqref="BY20">
    <cfRule type="cellIs" dxfId="810" priority="748" operator="equal">
      <formula>" "</formula>
    </cfRule>
    <cfRule type="expression" dxfId="809" priority="754">
      <formula>OR(BT20="Sa",BT20="Di",BV20="F")</formula>
    </cfRule>
    <cfRule type="expression" dxfId="808" priority="755">
      <formula>BT20&lt;&gt;""</formula>
    </cfRule>
  </conditionalFormatting>
  <conditionalFormatting sqref="BW20">
    <cfRule type="cellIs" dxfId="807" priority="752" operator="equal">
      <formula>" "</formula>
    </cfRule>
    <cfRule type="expression" dxfId="806" priority="753">
      <formula>OR(BT20="Sa",BT20="Di",BV20="F")</formula>
    </cfRule>
    <cfRule type="expression" dxfId="805" priority="756">
      <formula>BT20&lt;&gt;""</formula>
    </cfRule>
  </conditionalFormatting>
  <conditionalFormatting sqref="BX20">
    <cfRule type="cellIs" dxfId="804" priority="749" operator="equal">
      <formula>" "</formula>
    </cfRule>
    <cfRule type="expression" dxfId="803" priority="750">
      <formula>OR(BT20="Sa",BT20="Di",BV20="F")</formula>
    </cfRule>
    <cfRule type="expression" dxfId="802" priority="751">
      <formula>BU20&lt;&gt;""</formula>
    </cfRule>
  </conditionalFormatting>
  <conditionalFormatting sqref="BY22">
    <cfRule type="cellIs" dxfId="801" priority="739" operator="equal">
      <formula>" "</formula>
    </cfRule>
    <cfRule type="expression" dxfId="800" priority="745">
      <formula>OR(BT22="Sa",BT22="Di",BV22="F")</formula>
    </cfRule>
    <cfRule type="expression" dxfId="799" priority="746">
      <formula>BT22&lt;&gt;""</formula>
    </cfRule>
  </conditionalFormatting>
  <conditionalFormatting sqref="BW22">
    <cfRule type="cellIs" dxfId="798" priority="743" operator="equal">
      <formula>" "</formula>
    </cfRule>
    <cfRule type="expression" dxfId="797" priority="744">
      <formula>OR(BT22="Sa",BT22="Di",BV22="F")</formula>
    </cfRule>
    <cfRule type="expression" dxfId="796" priority="747">
      <formula>BT22&lt;&gt;""</formula>
    </cfRule>
  </conditionalFormatting>
  <conditionalFormatting sqref="BX22">
    <cfRule type="cellIs" dxfId="795" priority="740" operator="equal">
      <formula>" "</formula>
    </cfRule>
    <cfRule type="expression" dxfId="794" priority="741">
      <formula>OR(BT22="Sa",BT22="Di",BV22="F")</formula>
    </cfRule>
    <cfRule type="expression" dxfId="793" priority="742">
      <formula>BU22&lt;&gt;""</formula>
    </cfRule>
  </conditionalFormatting>
  <conditionalFormatting sqref="BY24">
    <cfRule type="cellIs" dxfId="792" priority="730" operator="equal">
      <formula>" "</formula>
    </cfRule>
    <cfRule type="expression" dxfId="791" priority="736">
      <formula>OR(BT24="Sa",BT24="Di",BV24="F")</formula>
    </cfRule>
    <cfRule type="expression" dxfId="790" priority="737">
      <formula>BT24&lt;&gt;""</formula>
    </cfRule>
  </conditionalFormatting>
  <conditionalFormatting sqref="BW24">
    <cfRule type="cellIs" dxfId="789" priority="734" operator="equal">
      <formula>" "</formula>
    </cfRule>
    <cfRule type="expression" dxfId="788" priority="735">
      <formula>OR(BT24="Sa",BT24="Di",BV24="F")</formula>
    </cfRule>
    <cfRule type="expression" dxfId="787" priority="738">
      <formula>BT24&lt;&gt;""</formula>
    </cfRule>
  </conditionalFormatting>
  <conditionalFormatting sqref="BX24">
    <cfRule type="cellIs" dxfId="786" priority="731" operator="equal">
      <formula>" "</formula>
    </cfRule>
    <cfRule type="expression" dxfId="785" priority="732">
      <formula>OR(BT24="Sa",BT24="Di",BV24="F")</formula>
    </cfRule>
    <cfRule type="expression" dxfId="784" priority="733">
      <formula>BU24&lt;&gt;""</formula>
    </cfRule>
  </conditionalFormatting>
  <conditionalFormatting sqref="BY30">
    <cfRule type="cellIs" dxfId="783" priority="703" operator="equal">
      <formula>" "</formula>
    </cfRule>
    <cfRule type="expression" dxfId="782" priority="709">
      <formula>OR(BT30="Sa",BT30="Di",BV30="F")</formula>
    </cfRule>
    <cfRule type="expression" dxfId="781" priority="710">
      <formula>BT30&lt;&gt;""</formula>
    </cfRule>
  </conditionalFormatting>
  <conditionalFormatting sqref="BW30">
    <cfRule type="cellIs" dxfId="780" priority="707" operator="equal">
      <formula>" "</formula>
    </cfRule>
    <cfRule type="expression" dxfId="779" priority="708">
      <formula>OR(BT30="Sa",BT30="Di",BV30="F")</formula>
    </cfRule>
    <cfRule type="expression" dxfId="778" priority="711">
      <formula>BT30&lt;&gt;""</formula>
    </cfRule>
  </conditionalFormatting>
  <conditionalFormatting sqref="BX30">
    <cfRule type="cellIs" dxfId="777" priority="704" operator="equal">
      <formula>" "</formula>
    </cfRule>
    <cfRule type="expression" dxfId="776" priority="705">
      <formula>OR(BT30="Sa",BT30="Di",BV30="F")</formula>
    </cfRule>
    <cfRule type="expression" dxfId="775" priority="706">
      <formula>BU30&lt;&gt;""</formula>
    </cfRule>
  </conditionalFormatting>
  <conditionalFormatting sqref="BY32">
    <cfRule type="cellIs" dxfId="774" priority="694" operator="equal">
      <formula>" "</formula>
    </cfRule>
    <cfRule type="expression" dxfId="773" priority="700">
      <formula>OR(BT32="Sa",BT32="Di",BV32="F")</formula>
    </cfRule>
    <cfRule type="expression" dxfId="772" priority="701">
      <formula>BT32&lt;&gt;""</formula>
    </cfRule>
  </conditionalFormatting>
  <conditionalFormatting sqref="BW32">
    <cfRule type="cellIs" dxfId="771" priority="698" operator="equal">
      <formula>" "</formula>
    </cfRule>
    <cfRule type="expression" dxfId="770" priority="699">
      <formula>OR(BT32="Sa",BT32="Di",BV32="F")</formula>
    </cfRule>
    <cfRule type="expression" dxfId="769" priority="702">
      <formula>BT32&lt;&gt;""</formula>
    </cfRule>
  </conditionalFormatting>
  <conditionalFormatting sqref="BX32">
    <cfRule type="cellIs" dxfId="768" priority="695" operator="equal">
      <formula>" "</formula>
    </cfRule>
    <cfRule type="expression" dxfId="767" priority="696">
      <formula>OR(BT32="Sa",BT32="Di",BV32="F")</formula>
    </cfRule>
    <cfRule type="expression" dxfId="766" priority="697">
      <formula>BU32&lt;&gt;""</formula>
    </cfRule>
  </conditionalFormatting>
  <conditionalFormatting sqref="BY34">
    <cfRule type="cellIs" dxfId="765" priority="685" operator="equal">
      <formula>" "</formula>
    </cfRule>
    <cfRule type="expression" dxfId="764" priority="691">
      <formula>OR(BT34="Sa",BT34="Di",BV34="F")</formula>
    </cfRule>
    <cfRule type="expression" dxfId="763" priority="692">
      <formula>BT34&lt;&gt;""</formula>
    </cfRule>
  </conditionalFormatting>
  <conditionalFormatting sqref="BW34">
    <cfRule type="cellIs" dxfId="762" priority="689" operator="equal">
      <formula>" "</formula>
    </cfRule>
    <cfRule type="expression" dxfId="761" priority="690">
      <formula>OR(BT34="Sa",BT34="Di",BV34="F")</formula>
    </cfRule>
    <cfRule type="expression" dxfId="760" priority="693">
      <formula>BT34&lt;&gt;""</formula>
    </cfRule>
  </conditionalFormatting>
  <conditionalFormatting sqref="BX34">
    <cfRule type="cellIs" dxfId="759" priority="686" operator="equal">
      <formula>" "</formula>
    </cfRule>
    <cfRule type="expression" dxfId="758" priority="687">
      <formula>OR(BT34="Sa",BT34="Di",BV34="F")</formula>
    </cfRule>
    <cfRule type="expression" dxfId="757" priority="688">
      <formula>BU34&lt;&gt;""</formula>
    </cfRule>
  </conditionalFormatting>
  <conditionalFormatting sqref="BY36">
    <cfRule type="cellIs" dxfId="756" priority="676" operator="equal">
      <formula>" "</formula>
    </cfRule>
    <cfRule type="expression" dxfId="755" priority="682">
      <formula>OR(BT36="Sa",BT36="Di",BV36="F")</formula>
    </cfRule>
    <cfRule type="expression" dxfId="754" priority="683">
      <formula>BT36&lt;&gt;""</formula>
    </cfRule>
  </conditionalFormatting>
  <conditionalFormatting sqref="BW36">
    <cfRule type="cellIs" dxfId="753" priority="680" operator="equal">
      <formula>" "</formula>
    </cfRule>
    <cfRule type="expression" dxfId="752" priority="681">
      <formula>OR(BT36="Sa",BT36="Di",BV36="F")</formula>
    </cfRule>
    <cfRule type="expression" dxfId="751" priority="684">
      <formula>BT36&lt;&gt;""</formula>
    </cfRule>
  </conditionalFormatting>
  <conditionalFormatting sqref="BX36">
    <cfRule type="cellIs" dxfId="750" priority="677" operator="equal">
      <formula>" "</formula>
    </cfRule>
    <cfRule type="expression" dxfId="749" priority="678">
      <formula>OR(BT36="Sa",BT36="Di",BV36="F")</formula>
    </cfRule>
    <cfRule type="expression" dxfId="748" priority="679">
      <formula>BU36&lt;&gt;""</formula>
    </cfRule>
  </conditionalFormatting>
  <conditionalFormatting sqref="BY38">
    <cfRule type="cellIs" dxfId="747" priority="667" operator="equal">
      <formula>" "</formula>
    </cfRule>
    <cfRule type="expression" dxfId="746" priority="673">
      <formula>OR(BT38="Sa",BT38="Di",BV38="F")</formula>
    </cfRule>
    <cfRule type="expression" dxfId="745" priority="674">
      <formula>BT38&lt;&gt;""</formula>
    </cfRule>
  </conditionalFormatting>
  <conditionalFormatting sqref="BW38">
    <cfRule type="cellIs" dxfId="744" priority="671" operator="equal">
      <formula>" "</formula>
    </cfRule>
    <cfRule type="expression" dxfId="743" priority="672">
      <formula>OR(BT38="Sa",BT38="Di",BV38="F")</formula>
    </cfRule>
    <cfRule type="expression" dxfId="742" priority="675">
      <formula>BT38&lt;&gt;""</formula>
    </cfRule>
  </conditionalFormatting>
  <conditionalFormatting sqref="BX38">
    <cfRule type="cellIs" dxfId="741" priority="668" operator="equal">
      <formula>" "</formula>
    </cfRule>
    <cfRule type="expression" dxfId="740" priority="669">
      <formula>OR(BT38="Sa",BT38="Di",BV38="F")</formula>
    </cfRule>
    <cfRule type="expression" dxfId="739" priority="670">
      <formula>BU38&lt;&gt;""</formula>
    </cfRule>
  </conditionalFormatting>
  <conditionalFormatting sqref="BY40">
    <cfRule type="cellIs" dxfId="738" priority="658" operator="equal">
      <formula>" "</formula>
    </cfRule>
    <cfRule type="expression" dxfId="737" priority="664">
      <formula>OR(BT40="Sa",BT40="Di",BV40="F")</formula>
    </cfRule>
    <cfRule type="expression" dxfId="736" priority="665">
      <formula>BT40&lt;&gt;""</formula>
    </cfRule>
  </conditionalFormatting>
  <conditionalFormatting sqref="BW40">
    <cfRule type="cellIs" dxfId="735" priority="662" operator="equal">
      <formula>" "</formula>
    </cfRule>
    <cfRule type="expression" dxfId="734" priority="663">
      <formula>OR(BT40="Sa",BT40="Di",BV40="F")</formula>
    </cfRule>
    <cfRule type="expression" dxfId="733" priority="666">
      <formula>BT40&lt;&gt;""</formula>
    </cfRule>
  </conditionalFormatting>
  <conditionalFormatting sqref="BX40">
    <cfRule type="cellIs" dxfId="732" priority="659" operator="equal">
      <formula>" "</formula>
    </cfRule>
    <cfRule type="expression" dxfId="731" priority="660">
      <formula>OR(BT40="Sa",BT40="Di",BV40="F")</formula>
    </cfRule>
    <cfRule type="expression" dxfId="730" priority="661">
      <formula>BU40&lt;&gt;""</formula>
    </cfRule>
  </conditionalFormatting>
  <conditionalFormatting sqref="BY42">
    <cfRule type="cellIs" dxfId="729" priority="649" operator="equal">
      <formula>" "</formula>
    </cfRule>
    <cfRule type="expression" dxfId="728" priority="655">
      <formula>OR(BT42="Sa",BT42="Di",BV42="F")</formula>
    </cfRule>
    <cfRule type="expression" dxfId="727" priority="656">
      <formula>BT42&lt;&gt;""</formula>
    </cfRule>
  </conditionalFormatting>
  <conditionalFormatting sqref="BW42">
    <cfRule type="cellIs" dxfId="726" priority="653" operator="equal">
      <formula>" "</formula>
    </cfRule>
    <cfRule type="expression" dxfId="725" priority="654">
      <formula>OR(BT42="Sa",BT42="Di",BV42="F")</formula>
    </cfRule>
    <cfRule type="expression" dxfId="724" priority="657">
      <formula>BT42&lt;&gt;""</formula>
    </cfRule>
  </conditionalFormatting>
  <conditionalFormatting sqref="BX42">
    <cfRule type="cellIs" dxfId="723" priority="650" operator="equal">
      <formula>" "</formula>
    </cfRule>
    <cfRule type="expression" dxfId="722" priority="651">
      <formula>OR(BT42="Sa",BT42="Di",BV42="F")</formula>
    </cfRule>
    <cfRule type="expression" dxfId="721" priority="652">
      <formula>BU42&lt;&gt;""</formula>
    </cfRule>
  </conditionalFormatting>
  <conditionalFormatting sqref="BY44">
    <cfRule type="cellIs" dxfId="720" priority="640" operator="equal">
      <formula>" "</formula>
    </cfRule>
    <cfRule type="expression" dxfId="719" priority="646">
      <formula>OR(BT44="Sa",BT44="Di",BV44="F")</formula>
    </cfRule>
    <cfRule type="expression" dxfId="718" priority="647">
      <formula>BT44&lt;&gt;""</formula>
    </cfRule>
  </conditionalFormatting>
  <conditionalFormatting sqref="BW44">
    <cfRule type="cellIs" dxfId="717" priority="644" operator="equal">
      <formula>" "</formula>
    </cfRule>
    <cfRule type="expression" dxfId="716" priority="645">
      <formula>OR(BT44="Sa",BT44="Di",BV44="F")</formula>
    </cfRule>
    <cfRule type="expression" dxfId="715" priority="648">
      <formula>BT44&lt;&gt;""</formula>
    </cfRule>
  </conditionalFormatting>
  <conditionalFormatting sqref="BX44">
    <cfRule type="cellIs" dxfId="714" priority="641" operator="equal">
      <formula>" "</formula>
    </cfRule>
    <cfRule type="expression" dxfId="713" priority="642">
      <formula>OR(BT44="Sa",BT44="Di",BV44="F")</formula>
    </cfRule>
    <cfRule type="expression" dxfId="712" priority="643">
      <formula>BU44&lt;&gt;""</formula>
    </cfRule>
  </conditionalFormatting>
  <conditionalFormatting sqref="BY46">
    <cfRule type="cellIs" dxfId="711" priority="631" operator="equal">
      <formula>" "</formula>
    </cfRule>
    <cfRule type="expression" dxfId="710" priority="637">
      <formula>OR(BT46="Sa",BT46="Di",BV46="F")</formula>
    </cfRule>
    <cfRule type="expression" dxfId="709" priority="638">
      <formula>BT46&lt;&gt;""</formula>
    </cfRule>
  </conditionalFormatting>
  <conditionalFormatting sqref="BW46">
    <cfRule type="cellIs" dxfId="708" priority="635" operator="equal">
      <formula>" "</formula>
    </cfRule>
    <cfRule type="expression" dxfId="707" priority="636">
      <formula>OR(BT46="Sa",BT46="Di",BV46="F")</formula>
    </cfRule>
    <cfRule type="expression" dxfId="706" priority="639">
      <formula>BT46&lt;&gt;""</formula>
    </cfRule>
  </conditionalFormatting>
  <conditionalFormatting sqref="BX46">
    <cfRule type="cellIs" dxfId="705" priority="632" operator="equal">
      <formula>" "</formula>
    </cfRule>
    <cfRule type="expression" dxfId="704" priority="633">
      <formula>OR(BT46="Sa",BT46="Di",BV46="F")</formula>
    </cfRule>
    <cfRule type="expression" dxfId="703" priority="634">
      <formula>BU46&lt;&gt;""</formula>
    </cfRule>
  </conditionalFormatting>
  <conditionalFormatting sqref="BY48">
    <cfRule type="cellIs" dxfId="702" priority="622" operator="equal">
      <formula>" "</formula>
    </cfRule>
    <cfRule type="expression" dxfId="701" priority="628">
      <formula>OR(BT48="Sa",BT48="Di",BV48="F")</formula>
    </cfRule>
    <cfRule type="expression" dxfId="700" priority="629">
      <formula>BT48&lt;&gt;""</formula>
    </cfRule>
  </conditionalFormatting>
  <conditionalFormatting sqref="BW48">
    <cfRule type="cellIs" dxfId="699" priority="626" operator="equal">
      <formula>" "</formula>
    </cfRule>
    <cfRule type="expression" dxfId="698" priority="627">
      <formula>OR(BT48="Sa",BT48="Di",BV48="F")</formula>
    </cfRule>
    <cfRule type="expression" dxfId="697" priority="630">
      <formula>BT48&lt;&gt;""</formula>
    </cfRule>
  </conditionalFormatting>
  <conditionalFormatting sqref="BX48">
    <cfRule type="cellIs" dxfId="696" priority="623" operator="equal">
      <formula>" "</formula>
    </cfRule>
    <cfRule type="expression" dxfId="695" priority="624">
      <formula>OR(BT48="Sa",BT48="Di",BV48="F")</formula>
    </cfRule>
    <cfRule type="expression" dxfId="694" priority="625">
      <formula>BU48&lt;&gt;""</formula>
    </cfRule>
  </conditionalFormatting>
  <conditionalFormatting sqref="BY50">
    <cfRule type="cellIs" dxfId="693" priority="613" operator="equal">
      <formula>" "</formula>
    </cfRule>
    <cfRule type="expression" dxfId="692" priority="619">
      <formula>OR(BT50="Sa",BT50="Di",BV50="F")</formula>
    </cfRule>
    <cfRule type="expression" dxfId="691" priority="620">
      <formula>BT50&lt;&gt;""</formula>
    </cfRule>
  </conditionalFormatting>
  <conditionalFormatting sqref="BW50">
    <cfRule type="cellIs" dxfId="690" priority="617" operator="equal">
      <formula>" "</formula>
    </cfRule>
    <cfRule type="expression" dxfId="689" priority="618">
      <formula>OR(BT50="Sa",BT50="Di",BV50="F")</formula>
    </cfRule>
    <cfRule type="expression" dxfId="688" priority="621">
      <formula>BT50&lt;&gt;""</formula>
    </cfRule>
  </conditionalFormatting>
  <conditionalFormatting sqref="BX50">
    <cfRule type="cellIs" dxfId="687" priority="614" operator="equal">
      <formula>" "</formula>
    </cfRule>
    <cfRule type="expression" dxfId="686" priority="615">
      <formula>OR(BT50="Sa",BT50="Di",BV50="F")</formula>
    </cfRule>
    <cfRule type="expression" dxfId="685" priority="616">
      <formula>BU50&lt;&gt;""</formula>
    </cfRule>
  </conditionalFormatting>
  <conditionalFormatting sqref="BY52">
    <cfRule type="cellIs" dxfId="684" priority="604" operator="equal">
      <formula>" "</formula>
    </cfRule>
    <cfRule type="expression" dxfId="683" priority="610">
      <formula>OR(BT52="Sa",BT52="Di",BV52="F")</formula>
    </cfRule>
    <cfRule type="expression" dxfId="682" priority="611">
      <formula>BT52&lt;&gt;""</formula>
    </cfRule>
  </conditionalFormatting>
  <conditionalFormatting sqref="BW52">
    <cfRule type="cellIs" dxfId="681" priority="608" operator="equal">
      <formula>" "</formula>
    </cfRule>
    <cfRule type="expression" dxfId="680" priority="609">
      <formula>OR(BT52="Sa",BT52="Di",BV52="F")</formula>
    </cfRule>
    <cfRule type="expression" dxfId="679" priority="612">
      <formula>BT52&lt;&gt;""</formula>
    </cfRule>
  </conditionalFormatting>
  <conditionalFormatting sqref="BX52">
    <cfRule type="cellIs" dxfId="678" priority="605" operator="equal">
      <formula>" "</formula>
    </cfRule>
    <cfRule type="expression" dxfId="677" priority="606">
      <formula>OR(BT52="Sa",BT52="Di",BV52="F")</formula>
    </cfRule>
    <cfRule type="expression" dxfId="676" priority="607">
      <formula>BU52&lt;&gt;""</formula>
    </cfRule>
  </conditionalFormatting>
  <conditionalFormatting sqref="BY54">
    <cfRule type="cellIs" dxfId="675" priority="595" operator="equal">
      <formula>" "</formula>
    </cfRule>
    <cfRule type="expression" dxfId="674" priority="601">
      <formula>OR(BT54="Sa",BT54="Di",BV54="F")</formula>
    </cfRule>
    <cfRule type="expression" dxfId="673" priority="602">
      <formula>BT54&lt;&gt;""</formula>
    </cfRule>
  </conditionalFormatting>
  <conditionalFormatting sqref="BW54">
    <cfRule type="cellIs" dxfId="672" priority="599" operator="equal">
      <formula>" "</formula>
    </cfRule>
    <cfRule type="expression" dxfId="671" priority="600">
      <formula>OR(BT54="Sa",BT54="Di",BV54="F")</formula>
    </cfRule>
    <cfRule type="expression" dxfId="670" priority="603">
      <formula>BT54&lt;&gt;""</formula>
    </cfRule>
  </conditionalFormatting>
  <conditionalFormatting sqref="BX54">
    <cfRule type="cellIs" dxfId="669" priority="596" operator="equal">
      <formula>" "</formula>
    </cfRule>
    <cfRule type="expression" dxfId="668" priority="597">
      <formula>OR(BT54="Sa",BT54="Di",BV54="F")</formula>
    </cfRule>
    <cfRule type="expression" dxfId="667" priority="598">
      <formula>BU54&lt;&gt;""</formula>
    </cfRule>
  </conditionalFormatting>
  <conditionalFormatting sqref="BY56">
    <cfRule type="cellIs" dxfId="666" priority="586" operator="equal">
      <formula>" "</formula>
    </cfRule>
    <cfRule type="expression" dxfId="665" priority="592">
      <formula>OR(BT56="Sa",BT56="Di",BV56="F")</formula>
    </cfRule>
    <cfRule type="expression" dxfId="664" priority="593">
      <formula>BT56&lt;&gt;""</formula>
    </cfRule>
  </conditionalFormatting>
  <conditionalFormatting sqref="BW56">
    <cfRule type="cellIs" dxfId="663" priority="590" operator="equal">
      <formula>" "</formula>
    </cfRule>
    <cfRule type="expression" dxfId="662" priority="591">
      <formula>OR(BT56="Sa",BT56="Di",BV56="F")</formula>
    </cfRule>
    <cfRule type="expression" dxfId="661" priority="594">
      <formula>BT56&lt;&gt;""</formula>
    </cfRule>
  </conditionalFormatting>
  <conditionalFormatting sqref="BX56">
    <cfRule type="cellIs" dxfId="660" priority="587" operator="equal">
      <formula>" "</formula>
    </cfRule>
    <cfRule type="expression" dxfId="659" priority="588">
      <formula>OR(BT56="Sa",BT56="Di",BV56="F")</formula>
    </cfRule>
    <cfRule type="expression" dxfId="658" priority="589">
      <formula>BU56&lt;&gt;""</formula>
    </cfRule>
  </conditionalFormatting>
  <conditionalFormatting sqref="BY58">
    <cfRule type="cellIs" dxfId="657" priority="577" operator="equal">
      <formula>" "</formula>
    </cfRule>
    <cfRule type="expression" dxfId="656" priority="583">
      <formula>OR(BT58="Sa",BT58="Di",BV58="F")</formula>
    </cfRule>
    <cfRule type="expression" dxfId="655" priority="584">
      <formula>BT58&lt;&gt;""</formula>
    </cfRule>
  </conditionalFormatting>
  <conditionalFormatting sqref="BW58">
    <cfRule type="cellIs" dxfId="654" priority="581" operator="equal">
      <formula>" "</formula>
    </cfRule>
    <cfRule type="expression" dxfId="653" priority="582">
      <formula>OR(BT58="Sa",BT58="Di",BV58="F")</formula>
    </cfRule>
    <cfRule type="expression" dxfId="652" priority="585">
      <formula>BT58&lt;&gt;""</formula>
    </cfRule>
  </conditionalFormatting>
  <conditionalFormatting sqref="BX58">
    <cfRule type="cellIs" dxfId="651" priority="578" operator="equal">
      <formula>" "</formula>
    </cfRule>
    <cfRule type="expression" dxfId="650" priority="579">
      <formula>OR(BT58="Sa",BT58="Di",BV58="F")</formula>
    </cfRule>
    <cfRule type="expression" dxfId="649" priority="580">
      <formula>BU58&lt;&gt;""</formula>
    </cfRule>
  </conditionalFormatting>
  <conditionalFormatting sqref="BY60">
    <cfRule type="cellIs" dxfId="648" priority="568" operator="equal">
      <formula>" "</formula>
    </cfRule>
    <cfRule type="expression" dxfId="647" priority="574">
      <formula>OR(BT60="Sa",BT60="Di",BV60="F")</formula>
    </cfRule>
    <cfRule type="expression" dxfId="646" priority="575">
      <formula>BT60&lt;&gt;""</formula>
    </cfRule>
  </conditionalFormatting>
  <conditionalFormatting sqref="BW60">
    <cfRule type="cellIs" dxfId="645" priority="572" operator="equal">
      <formula>" "</formula>
    </cfRule>
    <cfRule type="expression" dxfId="644" priority="573">
      <formula>OR(BT60="Sa",BT60="Di",BV60="F")</formula>
    </cfRule>
    <cfRule type="expression" dxfId="643" priority="576">
      <formula>BT60&lt;&gt;""</formula>
    </cfRule>
  </conditionalFormatting>
  <conditionalFormatting sqref="BX60">
    <cfRule type="cellIs" dxfId="642" priority="569" operator="equal">
      <formula>" "</formula>
    </cfRule>
    <cfRule type="expression" dxfId="641" priority="570">
      <formula>OR(BT60="Sa",BT60="Di",BV60="F")</formula>
    </cfRule>
    <cfRule type="expression" dxfId="640" priority="571">
      <formula>BU60&lt;&gt;""</formula>
    </cfRule>
  </conditionalFormatting>
  <conditionalFormatting sqref="BY62">
    <cfRule type="cellIs" dxfId="639" priority="559" operator="equal">
      <formula>" "</formula>
    </cfRule>
    <cfRule type="expression" dxfId="638" priority="565">
      <formula>OR(BT62="Sa",BT62="Di",BV62="F")</formula>
    </cfRule>
    <cfRule type="expression" dxfId="637" priority="566">
      <formula>BT62&lt;&gt;""</formula>
    </cfRule>
  </conditionalFormatting>
  <conditionalFormatting sqref="BW62">
    <cfRule type="cellIs" dxfId="636" priority="563" operator="equal">
      <formula>" "</formula>
    </cfRule>
    <cfRule type="expression" dxfId="635" priority="564">
      <formula>OR(BT62="Sa",BT62="Di",BV62="F")</formula>
    </cfRule>
    <cfRule type="expression" dxfId="634" priority="567">
      <formula>BT62&lt;&gt;""</formula>
    </cfRule>
  </conditionalFormatting>
  <conditionalFormatting sqref="BX62">
    <cfRule type="cellIs" dxfId="633" priority="560" operator="equal">
      <formula>" "</formula>
    </cfRule>
    <cfRule type="expression" dxfId="632" priority="561">
      <formula>OR(BT62="Sa",BT62="Di",BV62="F")</formula>
    </cfRule>
    <cfRule type="expression" dxfId="631" priority="562">
      <formula>BU62&lt;&gt;""</formula>
    </cfRule>
  </conditionalFormatting>
  <conditionalFormatting sqref="BY64">
    <cfRule type="cellIs" dxfId="630" priority="550" operator="equal">
      <formula>" "</formula>
    </cfRule>
    <cfRule type="expression" dxfId="629" priority="556">
      <formula>OR(BT64="Sa",BT64="Di",BV64="F")</formula>
    </cfRule>
    <cfRule type="expression" dxfId="628" priority="557">
      <formula>BT64&lt;&gt;""</formula>
    </cfRule>
  </conditionalFormatting>
  <conditionalFormatting sqref="BW64">
    <cfRule type="cellIs" dxfId="627" priority="554" operator="equal">
      <formula>" "</formula>
    </cfRule>
    <cfRule type="expression" dxfId="626" priority="555">
      <formula>OR(BT64="Sa",BT64="Di",BV64="F")</formula>
    </cfRule>
    <cfRule type="expression" dxfId="625" priority="558">
      <formula>BT64&lt;&gt;""</formula>
    </cfRule>
  </conditionalFormatting>
  <conditionalFormatting sqref="BX64">
    <cfRule type="cellIs" dxfId="624" priority="551" operator="equal">
      <formula>" "</formula>
    </cfRule>
    <cfRule type="expression" dxfId="623" priority="552">
      <formula>OR(BT64="Sa",BT64="Di",BV64="F")</formula>
    </cfRule>
    <cfRule type="expression" dxfId="622" priority="553">
      <formula>BU64&lt;&gt;""</formula>
    </cfRule>
  </conditionalFormatting>
  <conditionalFormatting sqref="BY66">
    <cfRule type="cellIs" dxfId="621" priority="541" operator="equal">
      <formula>" "</formula>
    </cfRule>
    <cfRule type="expression" dxfId="620" priority="547">
      <formula>OR(BT66="Sa",BT66="Di",BV66="F")</formula>
    </cfRule>
    <cfRule type="expression" dxfId="619" priority="548">
      <formula>BT66&lt;&gt;""</formula>
    </cfRule>
  </conditionalFormatting>
  <conditionalFormatting sqref="BW66">
    <cfRule type="cellIs" dxfId="618" priority="545" operator="equal">
      <formula>" "</formula>
    </cfRule>
    <cfRule type="expression" dxfId="617" priority="546">
      <formula>OR(BT66="Sa",BT66="Di",BV66="F")</formula>
    </cfRule>
    <cfRule type="expression" dxfId="616" priority="549">
      <formula>BT66&lt;&gt;""</formula>
    </cfRule>
  </conditionalFormatting>
  <conditionalFormatting sqref="BX66">
    <cfRule type="cellIs" dxfId="615" priority="542" operator="equal">
      <formula>" "</formula>
    </cfRule>
    <cfRule type="expression" dxfId="614" priority="543">
      <formula>OR(BT66="Sa",BT66="Di",BV66="F")</formula>
    </cfRule>
    <cfRule type="expression" dxfId="613" priority="544">
      <formula>BU66&lt;&gt;""</formula>
    </cfRule>
  </conditionalFormatting>
  <conditionalFormatting sqref="CF6">
    <cfRule type="cellIs" dxfId="612" priority="532" operator="equal">
      <formula>" "</formula>
    </cfRule>
    <cfRule type="expression" dxfId="611" priority="538">
      <formula>OR(CA6="Sa",CA6="Di",CC6="F")</formula>
    </cfRule>
    <cfRule type="expression" dxfId="610" priority="539">
      <formula>CA6&lt;&gt;""</formula>
    </cfRule>
  </conditionalFormatting>
  <conditionalFormatting sqref="CD6">
    <cfRule type="cellIs" dxfId="609" priority="536" operator="equal">
      <formula>" "</formula>
    </cfRule>
    <cfRule type="expression" dxfId="608" priority="537">
      <formula>OR(CA6="Sa",CA6="Di",CC6="F")</formula>
    </cfRule>
    <cfRule type="expression" dxfId="607" priority="540">
      <formula>CA6&lt;&gt;""</formula>
    </cfRule>
  </conditionalFormatting>
  <conditionalFormatting sqref="CE6">
    <cfRule type="cellIs" dxfId="606" priority="533" operator="equal">
      <formula>" "</formula>
    </cfRule>
    <cfRule type="expression" dxfId="605" priority="534">
      <formula>OR(CA6="Sa",CA6="Di",CC6="F")</formula>
    </cfRule>
    <cfRule type="expression" dxfId="604" priority="535">
      <formula>CB6&lt;&gt;""</formula>
    </cfRule>
  </conditionalFormatting>
  <conditionalFormatting sqref="CF8">
    <cfRule type="cellIs" dxfId="603" priority="523" operator="equal">
      <formula>" "</formula>
    </cfRule>
    <cfRule type="expression" dxfId="602" priority="529">
      <formula>OR(CA8="Sa",CA8="Di",CC8="F")</formula>
    </cfRule>
    <cfRule type="expression" dxfId="601" priority="530">
      <formula>CA8&lt;&gt;""</formula>
    </cfRule>
  </conditionalFormatting>
  <conditionalFormatting sqref="CD8">
    <cfRule type="cellIs" dxfId="600" priority="527" operator="equal">
      <formula>" "</formula>
    </cfRule>
    <cfRule type="expression" dxfId="599" priority="528">
      <formula>OR(CA8="Sa",CA8="Di",CC8="F")</formula>
    </cfRule>
    <cfRule type="expression" dxfId="598" priority="531">
      <formula>CA8&lt;&gt;""</formula>
    </cfRule>
  </conditionalFormatting>
  <conditionalFormatting sqref="CE8">
    <cfRule type="cellIs" dxfId="597" priority="524" operator="equal">
      <formula>" "</formula>
    </cfRule>
    <cfRule type="expression" dxfId="596" priority="525">
      <formula>OR(CA8="Sa",CA8="Di",CC8="F")</formula>
    </cfRule>
    <cfRule type="expression" dxfId="595" priority="526">
      <formula>CB8&lt;&gt;""</formula>
    </cfRule>
  </conditionalFormatting>
  <conditionalFormatting sqref="CF10">
    <cfRule type="cellIs" dxfId="594" priority="514" operator="equal">
      <formula>" "</formula>
    </cfRule>
    <cfRule type="expression" dxfId="593" priority="520">
      <formula>OR(CA10="Sa",CA10="Di",CC10="F")</formula>
    </cfRule>
    <cfRule type="expression" dxfId="592" priority="521">
      <formula>CA10&lt;&gt;""</formula>
    </cfRule>
  </conditionalFormatting>
  <conditionalFormatting sqref="CD10">
    <cfRule type="cellIs" dxfId="591" priority="518" operator="equal">
      <formula>" "</formula>
    </cfRule>
    <cfRule type="expression" dxfId="590" priority="519">
      <formula>OR(CA10="Sa",CA10="Di",CC10="F")</formula>
    </cfRule>
    <cfRule type="expression" dxfId="589" priority="522">
      <formula>CA10&lt;&gt;""</formula>
    </cfRule>
  </conditionalFormatting>
  <conditionalFormatting sqref="CE10">
    <cfRule type="cellIs" dxfId="588" priority="515" operator="equal">
      <formula>" "</formula>
    </cfRule>
    <cfRule type="expression" dxfId="587" priority="516">
      <formula>OR(CA10="Sa",CA10="Di",CC10="F")</formula>
    </cfRule>
    <cfRule type="expression" dxfId="586" priority="517">
      <formula>CB10&lt;&gt;""</formula>
    </cfRule>
  </conditionalFormatting>
  <conditionalFormatting sqref="CF12">
    <cfRule type="cellIs" dxfId="585" priority="505" operator="equal">
      <formula>" "</formula>
    </cfRule>
    <cfRule type="expression" dxfId="584" priority="511">
      <formula>OR(CA12="Sa",CA12="Di",CC12="F")</formula>
    </cfRule>
    <cfRule type="expression" dxfId="583" priority="512">
      <formula>CA12&lt;&gt;""</formula>
    </cfRule>
  </conditionalFormatting>
  <conditionalFormatting sqref="CD12">
    <cfRule type="cellIs" dxfId="582" priority="509" operator="equal">
      <formula>" "</formula>
    </cfRule>
    <cfRule type="expression" dxfId="581" priority="510">
      <formula>OR(CA12="Sa",CA12="Di",CC12="F")</formula>
    </cfRule>
    <cfRule type="expression" dxfId="580" priority="513">
      <formula>CA12&lt;&gt;""</formula>
    </cfRule>
  </conditionalFormatting>
  <conditionalFormatting sqref="CE12">
    <cfRule type="cellIs" dxfId="579" priority="506" operator="equal">
      <formula>" "</formula>
    </cfRule>
    <cfRule type="expression" dxfId="578" priority="507">
      <formula>OR(CA12="Sa",CA12="Di",CC12="F")</formula>
    </cfRule>
    <cfRule type="expression" dxfId="577" priority="508">
      <formula>CB12&lt;&gt;""</formula>
    </cfRule>
  </conditionalFormatting>
  <conditionalFormatting sqref="CF14">
    <cfRule type="cellIs" dxfId="576" priority="496" operator="equal">
      <formula>" "</formula>
    </cfRule>
    <cfRule type="expression" dxfId="575" priority="502">
      <formula>OR(CA14="Sa",CA14="Di",CC14="F")</formula>
    </cfRule>
    <cfRule type="expression" dxfId="574" priority="503">
      <formula>CA14&lt;&gt;""</formula>
    </cfRule>
  </conditionalFormatting>
  <conditionalFormatting sqref="CD14">
    <cfRule type="cellIs" dxfId="573" priority="500" operator="equal">
      <formula>" "</formula>
    </cfRule>
    <cfRule type="expression" dxfId="572" priority="501">
      <formula>OR(CA14="Sa",CA14="Di",CC14="F")</formula>
    </cfRule>
    <cfRule type="expression" dxfId="571" priority="504">
      <formula>CA14&lt;&gt;""</formula>
    </cfRule>
  </conditionalFormatting>
  <conditionalFormatting sqref="CE14">
    <cfRule type="cellIs" dxfId="570" priority="497" operator="equal">
      <formula>" "</formula>
    </cfRule>
    <cfRule type="expression" dxfId="569" priority="498">
      <formula>OR(CA14="Sa",CA14="Di",CC14="F")</formula>
    </cfRule>
    <cfRule type="expression" dxfId="568" priority="499">
      <formula>CB14&lt;&gt;""</formula>
    </cfRule>
  </conditionalFormatting>
  <conditionalFormatting sqref="CF16">
    <cfRule type="cellIs" dxfId="567" priority="487" operator="equal">
      <formula>" "</formula>
    </cfRule>
    <cfRule type="expression" dxfId="566" priority="493">
      <formula>OR(CA16="Sa",CA16="Di",CC16="F")</formula>
    </cfRule>
    <cfRule type="expression" dxfId="565" priority="494">
      <formula>CA16&lt;&gt;""</formula>
    </cfRule>
  </conditionalFormatting>
  <conditionalFormatting sqref="CD16">
    <cfRule type="cellIs" dxfId="564" priority="491" operator="equal">
      <formula>" "</formula>
    </cfRule>
    <cfRule type="expression" dxfId="563" priority="492">
      <formula>OR(CA16="Sa",CA16="Di",CC16="F")</formula>
    </cfRule>
    <cfRule type="expression" dxfId="562" priority="495">
      <formula>CA16&lt;&gt;""</formula>
    </cfRule>
  </conditionalFormatting>
  <conditionalFormatting sqref="CE16">
    <cfRule type="cellIs" dxfId="561" priority="488" operator="equal">
      <formula>" "</formula>
    </cfRule>
    <cfRule type="expression" dxfId="560" priority="489">
      <formula>OR(CA16="Sa",CA16="Di",CC16="F")</formula>
    </cfRule>
    <cfRule type="expression" dxfId="559" priority="490">
      <formula>CB16&lt;&gt;""</formula>
    </cfRule>
  </conditionalFormatting>
  <conditionalFormatting sqref="CF18">
    <cfRule type="cellIs" dxfId="558" priority="478" operator="equal">
      <formula>" "</formula>
    </cfRule>
    <cfRule type="expression" dxfId="557" priority="484">
      <formula>OR(CA18="Sa",CA18="Di",CC18="F")</formula>
    </cfRule>
    <cfRule type="expression" dxfId="556" priority="485">
      <formula>CA18&lt;&gt;""</formula>
    </cfRule>
  </conditionalFormatting>
  <conditionalFormatting sqref="CD18">
    <cfRule type="cellIs" dxfId="555" priority="482" operator="equal">
      <formula>" "</formula>
    </cfRule>
    <cfRule type="expression" dxfId="554" priority="483">
      <formula>OR(CA18="Sa",CA18="Di",CC18="F")</formula>
    </cfRule>
    <cfRule type="expression" dxfId="553" priority="486">
      <formula>CA18&lt;&gt;""</formula>
    </cfRule>
  </conditionalFormatting>
  <conditionalFormatting sqref="CE18">
    <cfRule type="cellIs" dxfId="552" priority="479" operator="equal">
      <formula>" "</formula>
    </cfRule>
    <cfRule type="expression" dxfId="551" priority="480">
      <formula>OR(CA18="Sa",CA18="Di",CC18="F")</formula>
    </cfRule>
    <cfRule type="expression" dxfId="550" priority="481">
      <formula>CB18&lt;&gt;""</formula>
    </cfRule>
  </conditionalFormatting>
  <conditionalFormatting sqref="CF20">
    <cfRule type="cellIs" dxfId="549" priority="469" operator="equal">
      <formula>" "</formula>
    </cfRule>
    <cfRule type="expression" dxfId="548" priority="475">
      <formula>OR(CA20="Sa",CA20="Di",CC20="F")</formula>
    </cfRule>
    <cfRule type="expression" dxfId="547" priority="476">
      <formula>CA20&lt;&gt;""</formula>
    </cfRule>
  </conditionalFormatting>
  <conditionalFormatting sqref="CD20">
    <cfRule type="cellIs" dxfId="546" priority="473" operator="equal">
      <formula>" "</formula>
    </cfRule>
    <cfRule type="expression" dxfId="545" priority="474">
      <formula>OR(CA20="Sa",CA20="Di",CC20="F")</formula>
    </cfRule>
    <cfRule type="expression" dxfId="544" priority="477">
      <formula>CA20&lt;&gt;""</formula>
    </cfRule>
  </conditionalFormatting>
  <conditionalFormatting sqref="CE20">
    <cfRule type="cellIs" dxfId="543" priority="470" operator="equal">
      <formula>" "</formula>
    </cfRule>
    <cfRule type="expression" dxfId="542" priority="471">
      <formula>OR(CA20="Sa",CA20="Di",CC20="F")</formula>
    </cfRule>
    <cfRule type="expression" dxfId="541" priority="472">
      <formula>CB20&lt;&gt;""</formula>
    </cfRule>
  </conditionalFormatting>
  <conditionalFormatting sqref="CF22">
    <cfRule type="cellIs" dxfId="540" priority="460" operator="equal">
      <formula>" "</formula>
    </cfRule>
    <cfRule type="expression" dxfId="539" priority="466">
      <formula>OR(CA22="Sa",CA22="Di",CC22="F")</formula>
    </cfRule>
    <cfRule type="expression" dxfId="538" priority="467">
      <formula>CA22&lt;&gt;""</formula>
    </cfRule>
  </conditionalFormatting>
  <conditionalFormatting sqref="CD22">
    <cfRule type="cellIs" dxfId="537" priority="464" operator="equal">
      <formula>" "</formula>
    </cfRule>
    <cfRule type="expression" dxfId="536" priority="465">
      <formula>OR(CA22="Sa",CA22="Di",CC22="F")</formula>
    </cfRule>
    <cfRule type="expression" dxfId="535" priority="468">
      <formula>CA22&lt;&gt;""</formula>
    </cfRule>
  </conditionalFormatting>
  <conditionalFormatting sqref="CE22">
    <cfRule type="cellIs" dxfId="534" priority="461" operator="equal">
      <formula>" "</formula>
    </cfRule>
    <cfRule type="expression" dxfId="533" priority="462">
      <formula>OR(CA22="Sa",CA22="Di",CC22="F")</formula>
    </cfRule>
    <cfRule type="expression" dxfId="532" priority="463">
      <formula>CB22&lt;&gt;""</formula>
    </cfRule>
  </conditionalFormatting>
  <conditionalFormatting sqref="CF24">
    <cfRule type="cellIs" dxfId="531" priority="451" operator="equal">
      <formula>" "</formula>
    </cfRule>
    <cfRule type="expression" dxfId="530" priority="457">
      <formula>OR(CA24="Sa",CA24="Di",CC24="F")</formula>
    </cfRule>
    <cfRule type="expression" dxfId="529" priority="458">
      <formula>CA24&lt;&gt;""</formula>
    </cfRule>
  </conditionalFormatting>
  <conditionalFormatting sqref="CD24">
    <cfRule type="cellIs" dxfId="528" priority="455" operator="equal">
      <formula>" "</formula>
    </cfRule>
    <cfRule type="expression" dxfId="527" priority="456">
      <formula>OR(CA24="Sa",CA24="Di",CC24="F")</formula>
    </cfRule>
    <cfRule type="expression" dxfId="526" priority="459">
      <formula>CA24&lt;&gt;""</formula>
    </cfRule>
  </conditionalFormatting>
  <conditionalFormatting sqref="CE24">
    <cfRule type="cellIs" dxfId="525" priority="452" operator="equal">
      <formula>" "</formula>
    </cfRule>
    <cfRule type="expression" dxfId="524" priority="453">
      <formula>OR(CA24="Sa",CA24="Di",CC24="F")</formula>
    </cfRule>
    <cfRule type="expression" dxfId="523" priority="454">
      <formula>CB24&lt;&gt;""</formula>
    </cfRule>
  </conditionalFormatting>
  <conditionalFormatting sqref="CF26">
    <cfRule type="cellIs" dxfId="522" priority="442" operator="equal">
      <formula>" "</formula>
    </cfRule>
    <cfRule type="expression" dxfId="521" priority="448">
      <formula>OR(CA26="Sa",CA26="Di",CC26="F")</formula>
    </cfRule>
    <cfRule type="expression" dxfId="520" priority="449">
      <formula>CA26&lt;&gt;""</formula>
    </cfRule>
  </conditionalFormatting>
  <conditionalFormatting sqref="CD26">
    <cfRule type="cellIs" dxfId="519" priority="446" operator="equal">
      <formula>" "</formula>
    </cfRule>
    <cfRule type="expression" dxfId="518" priority="447">
      <formula>OR(CA26="Sa",CA26="Di",CC26="F")</formula>
    </cfRule>
    <cfRule type="expression" dxfId="517" priority="450">
      <formula>CA26&lt;&gt;""</formula>
    </cfRule>
  </conditionalFormatting>
  <conditionalFormatting sqref="CE26">
    <cfRule type="cellIs" dxfId="516" priority="443" operator="equal">
      <formula>" "</formula>
    </cfRule>
    <cfRule type="expression" dxfId="515" priority="444">
      <formula>OR(CA26="Sa",CA26="Di",CC26="F")</formula>
    </cfRule>
    <cfRule type="expression" dxfId="514" priority="445">
      <formula>CB26&lt;&gt;""</formula>
    </cfRule>
  </conditionalFormatting>
  <conditionalFormatting sqref="CF28">
    <cfRule type="cellIs" dxfId="513" priority="433" operator="equal">
      <formula>" "</formula>
    </cfRule>
    <cfRule type="expression" dxfId="512" priority="439">
      <formula>OR(CA28="Sa",CA28="Di",CC28="F")</formula>
    </cfRule>
    <cfRule type="expression" dxfId="511" priority="440">
      <formula>CA28&lt;&gt;""</formula>
    </cfRule>
  </conditionalFormatting>
  <conditionalFormatting sqref="CD28">
    <cfRule type="cellIs" dxfId="510" priority="437" operator="equal">
      <formula>" "</formula>
    </cfRule>
    <cfRule type="expression" dxfId="509" priority="438">
      <formula>OR(CA28="Sa",CA28="Di",CC28="F")</formula>
    </cfRule>
    <cfRule type="expression" dxfId="508" priority="441">
      <formula>CA28&lt;&gt;""</formula>
    </cfRule>
  </conditionalFormatting>
  <conditionalFormatting sqref="CE28">
    <cfRule type="cellIs" dxfId="507" priority="434" operator="equal">
      <formula>" "</formula>
    </cfRule>
    <cfRule type="expression" dxfId="506" priority="435">
      <formula>OR(CA28="Sa",CA28="Di",CC28="F")</formula>
    </cfRule>
    <cfRule type="expression" dxfId="505" priority="436">
      <formula>CB28&lt;&gt;""</formula>
    </cfRule>
  </conditionalFormatting>
  <conditionalFormatting sqref="CF30">
    <cfRule type="cellIs" dxfId="504" priority="424" operator="equal">
      <formula>" "</formula>
    </cfRule>
    <cfRule type="expression" dxfId="503" priority="430">
      <formula>OR(CA30="Sa",CA30="Di",CC30="F")</formula>
    </cfRule>
    <cfRule type="expression" dxfId="502" priority="431">
      <formula>CA30&lt;&gt;""</formula>
    </cfRule>
  </conditionalFormatting>
  <conditionalFormatting sqref="CD30">
    <cfRule type="cellIs" dxfId="501" priority="428" operator="equal">
      <formula>" "</formula>
    </cfRule>
    <cfRule type="expression" dxfId="500" priority="429">
      <formula>OR(CA30="Sa",CA30="Di",CC30="F")</formula>
    </cfRule>
    <cfRule type="expression" dxfId="499" priority="432">
      <formula>CA30&lt;&gt;""</formula>
    </cfRule>
  </conditionalFormatting>
  <conditionalFormatting sqref="CE30">
    <cfRule type="cellIs" dxfId="498" priority="425" operator="equal">
      <formula>" "</formula>
    </cfRule>
    <cfRule type="expression" dxfId="497" priority="426">
      <formula>OR(CA30="Sa",CA30="Di",CC30="F")</formula>
    </cfRule>
    <cfRule type="expression" dxfId="496" priority="427">
      <formula>CB30&lt;&gt;""</formula>
    </cfRule>
  </conditionalFormatting>
  <conditionalFormatting sqref="CF32">
    <cfRule type="cellIs" dxfId="495" priority="415" operator="equal">
      <formula>" "</formula>
    </cfRule>
    <cfRule type="expression" dxfId="494" priority="421">
      <formula>OR(CA32="Sa",CA32="Di",CC32="F")</formula>
    </cfRule>
    <cfRule type="expression" dxfId="493" priority="422">
      <formula>CA32&lt;&gt;""</formula>
    </cfRule>
  </conditionalFormatting>
  <conditionalFormatting sqref="CD32">
    <cfRule type="cellIs" dxfId="492" priority="419" operator="equal">
      <formula>" "</formula>
    </cfRule>
    <cfRule type="expression" dxfId="491" priority="420">
      <formula>OR(CA32="Sa",CA32="Di",CC32="F")</formula>
    </cfRule>
    <cfRule type="expression" dxfId="490" priority="423">
      <formula>CA32&lt;&gt;""</formula>
    </cfRule>
  </conditionalFormatting>
  <conditionalFormatting sqref="CE32">
    <cfRule type="cellIs" dxfId="489" priority="416" operator="equal">
      <formula>" "</formula>
    </cfRule>
    <cfRule type="expression" dxfId="488" priority="417">
      <formula>OR(CA32="Sa",CA32="Di",CC32="F")</formula>
    </cfRule>
    <cfRule type="expression" dxfId="487" priority="418">
      <formula>CB32&lt;&gt;""</formula>
    </cfRule>
  </conditionalFormatting>
  <conditionalFormatting sqref="CF34">
    <cfRule type="cellIs" dxfId="486" priority="406" operator="equal">
      <formula>" "</formula>
    </cfRule>
    <cfRule type="expression" dxfId="485" priority="412">
      <formula>OR(CA34="Sa",CA34="Di",CC34="F")</formula>
    </cfRule>
    <cfRule type="expression" dxfId="484" priority="413">
      <formula>CA34&lt;&gt;""</formula>
    </cfRule>
  </conditionalFormatting>
  <conditionalFormatting sqref="CD34">
    <cfRule type="cellIs" dxfId="483" priority="410" operator="equal">
      <formula>" "</formula>
    </cfRule>
    <cfRule type="expression" dxfId="482" priority="411">
      <formula>OR(CA34="Sa",CA34="Di",CC34="F")</formula>
    </cfRule>
    <cfRule type="expression" dxfId="481" priority="414">
      <formula>CA34&lt;&gt;""</formula>
    </cfRule>
  </conditionalFormatting>
  <conditionalFormatting sqref="CE34">
    <cfRule type="cellIs" dxfId="480" priority="407" operator="equal">
      <formula>" "</formula>
    </cfRule>
    <cfRule type="expression" dxfId="479" priority="408">
      <formula>OR(CA34="Sa",CA34="Di",CC34="F")</formula>
    </cfRule>
    <cfRule type="expression" dxfId="478" priority="409">
      <formula>CB34&lt;&gt;""</formula>
    </cfRule>
  </conditionalFormatting>
  <conditionalFormatting sqref="CF36">
    <cfRule type="cellIs" dxfId="477" priority="397" operator="equal">
      <formula>" "</formula>
    </cfRule>
    <cfRule type="expression" dxfId="476" priority="403">
      <formula>OR(CA36="Sa",CA36="Di",CC36="F")</formula>
    </cfRule>
    <cfRule type="expression" dxfId="475" priority="404">
      <formula>CA36&lt;&gt;""</formula>
    </cfRule>
  </conditionalFormatting>
  <conditionalFormatting sqref="CD36">
    <cfRule type="cellIs" dxfId="474" priority="401" operator="equal">
      <formula>" "</formula>
    </cfRule>
    <cfRule type="expression" dxfId="473" priority="402">
      <formula>OR(CA36="Sa",CA36="Di",CC36="F")</formula>
    </cfRule>
    <cfRule type="expression" dxfId="472" priority="405">
      <formula>CA36&lt;&gt;""</formula>
    </cfRule>
  </conditionalFormatting>
  <conditionalFormatting sqref="CE36">
    <cfRule type="cellIs" dxfId="471" priority="398" operator="equal">
      <formula>" "</formula>
    </cfRule>
    <cfRule type="expression" dxfId="470" priority="399">
      <formula>OR(CA36="Sa",CA36="Di",CC36="F")</formula>
    </cfRule>
    <cfRule type="expression" dxfId="469" priority="400">
      <formula>CB36&lt;&gt;""</formula>
    </cfRule>
  </conditionalFormatting>
  <conditionalFormatting sqref="CF38">
    <cfRule type="cellIs" dxfId="468" priority="388" operator="equal">
      <formula>" "</formula>
    </cfRule>
    <cfRule type="expression" dxfId="467" priority="394">
      <formula>OR(CA38="Sa",CA38="Di",CC38="F")</formula>
    </cfRule>
    <cfRule type="expression" dxfId="466" priority="395">
      <formula>CA38&lt;&gt;""</formula>
    </cfRule>
  </conditionalFormatting>
  <conditionalFormatting sqref="CD38">
    <cfRule type="cellIs" dxfId="465" priority="392" operator="equal">
      <formula>" "</formula>
    </cfRule>
    <cfRule type="expression" dxfId="464" priority="393">
      <formula>OR(CA38="Sa",CA38="Di",CC38="F")</formula>
    </cfRule>
    <cfRule type="expression" dxfId="463" priority="396">
      <formula>CA38&lt;&gt;""</formula>
    </cfRule>
  </conditionalFormatting>
  <conditionalFormatting sqref="CE38">
    <cfRule type="cellIs" dxfId="462" priority="389" operator="equal">
      <formula>" "</formula>
    </cfRule>
    <cfRule type="expression" dxfId="461" priority="390">
      <formula>OR(CA38="Sa",CA38="Di",CC38="F")</formula>
    </cfRule>
    <cfRule type="expression" dxfId="460" priority="391">
      <formula>CB38&lt;&gt;""</formula>
    </cfRule>
  </conditionalFormatting>
  <conditionalFormatting sqref="CF40">
    <cfRule type="cellIs" dxfId="459" priority="379" operator="equal">
      <formula>" "</formula>
    </cfRule>
    <cfRule type="expression" dxfId="458" priority="385">
      <formula>OR(CA40="Sa",CA40="Di",CC40="F")</formula>
    </cfRule>
    <cfRule type="expression" dxfId="457" priority="386">
      <formula>CA40&lt;&gt;""</formula>
    </cfRule>
  </conditionalFormatting>
  <conditionalFormatting sqref="CD40">
    <cfRule type="cellIs" dxfId="456" priority="383" operator="equal">
      <formula>" "</formula>
    </cfRule>
    <cfRule type="expression" dxfId="455" priority="384">
      <formula>OR(CA40="Sa",CA40="Di",CC40="F")</formula>
    </cfRule>
    <cfRule type="expression" dxfId="454" priority="387">
      <formula>CA40&lt;&gt;""</formula>
    </cfRule>
  </conditionalFormatting>
  <conditionalFormatting sqref="CE40">
    <cfRule type="cellIs" dxfId="453" priority="380" operator="equal">
      <formula>" "</formula>
    </cfRule>
    <cfRule type="expression" dxfId="452" priority="381">
      <formula>OR(CA40="Sa",CA40="Di",CC40="F")</formula>
    </cfRule>
    <cfRule type="expression" dxfId="451" priority="382">
      <formula>CB40&lt;&gt;""</formula>
    </cfRule>
  </conditionalFormatting>
  <conditionalFormatting sqref="CF42">
    <cfRule type="cellIs" dxfId="450" priority="370" operator="equal">
      <formula>" "</formula>
    </cfRule>
    <cfRule type="expression" dxfId="449" priority="376">
      <formula>OR(CA42="Sa",CA42="Di",CC42="F")</formula>
    </cfRule>
    <cfRule type="expression" dxfId="448" priority="377">
      <formula>CA42&lt;&gt;""</formula>
    </cfRule>
  </conditionalFormatting>
  <conditionalFormatting sqref="CD42">
    <cfRule type="cellIs" dxfId="447" priority="374" operator="equal">
      <formula>" "</formula>
    </cfRule>
    <cfRule type="expression" dxfId="446" priority="375">
      <formula>OR(CA42="Sa",CA42="Di",CC42="F")</formula>
    </cfRule>
    <cfRule type="expression" dxfId="445" priority="378">
      <formula>CA42&lt;&gt;""</formula>
    </cfRule>
  </conditionalFormatting>
  <conditionalFormatting sqref="CE42">
    <cfRule type="cellIs" dxfId="444" priority="371" operator="equal">
      <formula>" "</formula>
    </cfRule>
    <cfRule type="expression" dxfId="443" priority="372">
      <formula>OR(CA42="Sa",CA42="Di",CC42="F")</formula>
    </cfRule>
    <cfRule type="expression" dxfId="442" priority="373">
      <formula>CB42&lt;&gt;""</formula>
    </cfRule>
  </conditionalFormatting>
  <conditionalFormatting sqref="CF44">
    <cfRule type="cellIs" dxfId="441" priority="361" operator="equal">
      <formula>" "</formula>
    </cfRule>
    <cfRule type="expression" dxfId="440" priority="367">
      <formula>OR(CA44="Sa",CA44="Di",CC44="F")</formula>
    </cfRule>
    <cfRule type="expression" dxfId="439" priority="368">
      <formula>CA44&lt;&gt;""</formula>
    </cfRule>
  </conditionalFormatting>
  <conditionalFormatting sqref="CD44">
    <cfRule type="cellIs" dxfId="438" priority="365" operator="equal">
      <formula>" "</formula>
    </cfRule>
    <cfRule type="expression" dxfId="437" priority="366">
      <formula>OR(CA44="Sa",CA44="Di",CC44="F")</formula>
    </cfRule>
    <cfRule type="expression" dxfId="436" priority="369">
      <formula>CA44&lt;&gt;""</formula>
    </cfRule>
  </conditionalFormatting>
  <conditionalFormatting sqref="CE44">
    <cfRule type="cellIs" dxfId="435" priority="362" operator="equal">
      <formula>" "</formula>
    </cfRule>
    <cfRule type="expression" dxfId="434" priority="363">
      <formula>OR(CA44="Sa",CA44="Di",CC44="F")</formula>
    </cfRule>
    <cfRule type="expression" dxfId="433" priority="364">
      <formula>CB44&lt;&gt;""</formula>
    </cfRule>
  </conditionalFormatting>
  <conditionalFormatting sqref="CF46">
    <cfRule type="cellIs" dxfId="432" priority="352" operator="equal">
      <formula>" "</formula>
    </cfRule>
    <cfRule type="expression" dxfId="431" priority="358">
      <formula>OR(CA46="Sa",CA46="Di",CC46="F")</formula>
    </cfRule>
    <cfRule type="expression" dxfId="430" priority="359">
      <formula>CA46&lt;&gt;""</formula>
    </cfRule>
  </conditionalFormatting>
  <conditionalFormatting sqref="CD46">
    <cfRule type="cellIs" dxfId="429" priority="356" operator="equal">
      <formula>" "</formula>
    </cfRule>
    <cfRule type="expression" dxfId="428" priority="357">
      <formula>OR(CA46="Sa",CA46="Di",CC46="F")</formula>
    </cfRule>
    <cfRule type="expression" dxfId="427" priority="360">
      <formula>CA46&lt;&gt;""</formula>
    </cfRule>
  </conditionalFormatting>
  <conditionalFormatting sqref="CE46">
    <cfRule type="cellIs" dxfId="426" priority="353" operator="equal">
      <formula>" "</formula>
    </cfRule>
    <cfRule type="expression" dxfId="425" priority="354">
      <formula>OR(CA46="Sa",CA46="Di",CC46="F")</formula>
    </cfRule>
    <cfRule type="expression" dxfId="424" priority="355">
      <formula>CB46&lt;&gt;""</formula>
    </cfRule>
  </conditionalFormatting>
  <conditionalFormatting sqref="CF48">
    <cfRule type="cellIs" dxfId="423" priority="343" operator="equal">
      <formula>" "</formula>
    </cfRule>
    <cfRule type="expression" dxfId="422" priority="349">
      <formula>OR(CA48="Sa",CA48="Di",CC48="F")</formula>
    </cfRule>
    <cfRule type="expression" dxfId="421" priority="350">
      <formula>CA48&lt;&gt;""</formula>
    </cfRule>
  </conditionalFormatting>
  <conditionalFormatting sqref="CD48">
    <cfRule type="cellIs" dxfId="420" priority="347" operator="equal">
      <formula>" "</formula>
    </cfRule>
    <cfRule type="expression" dxfId="419" priority="348">
      <formula>OR(CA48="Sa",CA48="Di",CC48="F")</formula>
    </cfRule>
    <cfRule type="expression" dxfId="418" priority="351">
      <formula>CA48&lt;&gt;""</formula>
    </cfRule>
  </conditionalFormatting>
  <conditionalFormatting sqref="CE48">
    <cfRule type="cellIs" dxfId="417" priority="344" operator="equal">
      <formula>" "</formula>
    </cfRule>
    <cfRule type="expression" dxfId="416" priority="345">
      <formula>OR(CA48="Sa",CA48="Di",CC48="F")</formula>
    </cfRule>
    <cfRule type="expression" dxfId="415" priority="346">
      <formula>CB48&lt;&gt;""</formula>
    </cfRule>
  </conditionalFormatting>
  <conditionalFormatting sqref="CF50">
    <cfRule type="cellIs" dxfId="414" priority="334" operator="equal">
      <formula>" "</formula>
    </cfRule>
    <cfRule type="expression" dxfId="413" priority="340">
      <formula>OR(CA50="Sa",CA50="Di",CC50="F")</formula>
    </cfRule>
    <cfRule type="expression" dxfId="412" priority="341">
      <formula>CA50&lt;&gt;""</formula>
    </cfRule>
  </conditionalFormatting>
  <conditionalFormatting sqref="CD50">
    <cfRule type="cellIs" dxfId="411" priority="338" operator="equal">
      <formula>" "</formula>
    </cfRule>
    <cfRule type="expression" dxfId="410" priority="339">
      <formula>OR(CA50="Sa",CA50="Di",CC50="F")</formula>
    </cfRule>
    <cfRule type="expression" dxfId="409" priority="342">
      <formula>CA50&lt;&gt;""</formula>
    </cfRule>
  </conditionalFormatting>
  <conditionalFormatting sqref="CE50">
    <cfRule type="cellIs" dxfId="408" priority="335" operator="equal">
      <formula>" "</formula>
    </cfRule>
    <cfRule type="expression" dxfId="407" priority="336">
      <formula>OR(CA50="Sa",CA50="Di",CC50="F")</formula>
    </cfRule>
    <cfRule type="expression" dxfId="406" priority="337">
      <formula>CB50&lt;&gt;""</formula>
    </cfRule>
  </conditionalFormatting>
  <conditionalFormatting sqref="CF52">
    <cfRule type="cellIs" dxfId="405" priority="325" operator="equal">
      <formula>" "</formula>
    </cfRule>
    <cfRule type="expression" dxfId="404" priority="331">
      <formula>OR(CA52="Sa",CA52="Di",CC52="F")</formula>
    </cfRule>
    <cfRule type="expression" dxfId="403" priority="332">
      <formula>CA52&lt;&gt;""</formula>
    </cfRule>
  </conditionalFormatting>
  <conditionalFormatting sqref="CD52">
    <cfRule type="cellIs" dxfId="402" priority="329" operator="equal">
      <formula>" "</formula>
    </cfRule>
    <cfRule type="expression" dxfId="401" priority="330">
      <formula>OR(CA52="Sa",CA52="Di",CC52="F")</formula>
    </cfRule>
    <cfRule type="expression" dxfId="400" priority="333">
      <formula>CA52&lt;&gt;""</formula>
    </cfRule>
  </conditionalFormatting>
  <conditionalFormatting sqref="CE52">
    <cfRule type="cellIs" dxfId="399" priority="326" operator="equal">
      <formula>" "</formula>
    </cfRule>
    <cfRule type="expression" dxfId="398" priority="327">
      <formula>OR(CA52="Sa",CA52="Di",CC52="F")</formula>
    </cfRule>
    <cfRule type="expression" dxfId="397" priority="328">
      <formula>CB52&lt;&gt;""</formula>
    </cfRule>
  </conditionalFormatting>
  <conditionalFormatting sqref="CF54">
    <cfRule type="cellIs" dxfId="396" priority="316" operator="equal">
      <formula>" "</formula>
    </cfRule>
    <cfRule type="expression" dxfId="395" priority="322">
      <formula>OR(CA54="Sa",CA54="Di",CC54="F")</formula>
    </cfRule>
    <cfRule type="expression" dxfId="394" priority="323">
      <formula>CA54&lt;&gt;""</formula>
    </cfRule>
  </conditionalFormatting>
  <conditionalFormatting sqref="CD54">
    <cfRule type="cellIs" dxfId="393" priority="320" operator="equal">
      <formula>" "</formula>
    </cfRule>
    <cfRule type="expression" dxfId="392" priority="321">
      <formula>OR(CA54="Sa",CA54="Di",CC54="F")</formula>
    </cfRule>
    <cfRule type="expression" dxfId="391" priority="324">
      <formula>CA54&lt;&gt;""</formula>
    </cfRule>
  </conditionalFormatting>
  <conditionalFormatting sqref="CE54">
    <cfRule type="cellIs" dxfId="390" priority="317" operator="equal">
      <formula>" "</formula>
    </cfRule>
    <cfRule type="expression" dxfId="389" priority="318">
      <formula>OR(CA54="Sa",CA54="Di",CC54="F")</formula>
    </cfRule>
    <cfRule type="expression" dxfId="388" priority="319">
      <formula>CB54&lt;&gt;""</formula>
    </cfRule>
  </conditionalFormatting>
  <conditionalFormatting sqref="CF56">
    <cfRule type="cellIs" dxfId="387" priority="307" operator="equal">
      <formula>" "</formula>
    </cfRule>
    <cfRule type="expression" dxfId="386" priority="313">
      <formula>OR(CA56="Sa",CA56="Di",CC56="F")</formula>
    </cfRule>
    <cfRule type="expression" dxfId="385" priority="314">
      <formula>CA56&lt;&gt;""</formula>
    </cfRule>
  </conditionalFormatting>
  <conditionalFormatting sqref="CD56">
    <cfRule type="cellIs" dxfId="384" priority="311" operator="equal">
      <formula>" "</formula>
    </cfRule>
    <cfRule type="expression" dxfId="383" priority="312">
      <formula>OR(CA56="Sa",CA56="Di",CC56="F")</formula>
    </cfRule>
    <cfRule type="expression" dxfId="382" priority="315">
      <formula>CA56&lt;&gt;""</formula>
    </cfRule>
  </conditionalFormatting>
  <conditionalFormatting sqref="CE56">
    <cfRule type="cellIs" dxfId="381" priority="308" operator="equal">
      <formula>" "</formula>
    </cfRule>
    <cfRule type="expression" dxfId="380" priority="309">
      <formula>OR(CA56="Sa",CA56="Di",CC56="F")</formula>
    </cfRule>
    <cfRule type="expression" dxfId="379" priority="310">
      <formula>CB56&lt;&gt;""</formula>
    </cfRule>
  </conditionalFormatting>
  <conditionalFormatting sqref="CF58">
    <cfRule type="cellIs" dxfId="378" priority="298" operator="equal">
      <formula>" "</formula>
    </cfRule>
    <cfRule type="expression" dxfId="377" priority="304">
      <formula>OR(CA58="Sa",CA58="Di",CC58="F")</formula>
    </cfRule>
    <cfRule type="expression" dxfId="376" priority="305">
      <formula>CA58&lt;&gt;""</formula>
    </cfRule>
  </conditionalFormatting>
  <conditionalFormatting sqref="CD58">
    <cfRule type="cellIs" dxfId="375" priority="302" operator="equal">
      <formula>" "</formula>
    </cfRule>
    <cfRule type="expression" dxfId="374" priority="303">
      <formula>OR(CA58="Sa",CA58="Di",CC58="F")</formula>
    </cfRule>
    <cfRule type="expression" dxfId="373" priority="306">
      <formula>CA58&lt;&gt;""</formula>
    </cfRule>
  </conditionalFormatting>
  <conditionalFormatting sqref="CE58">
    <cfRule type="cellIs" dxfId="372" priority="299" operator="equal">
      <formula>" "</formula>
    </cfRule>
    <cfRule type="expression" dxfId="371" priority="300">
      <formula>OR(CA58="Sa",CA58="Di",CC58="F")</formula>
    </cfRule>
    <cfRule type="expression" dxfId="370" priority="301">
      <formula>CB58&lt;&gt;""</formula>
    </cfRule>
  </conditionalFormatting>
  <conditionalFormatting sqref="CF60">
    <cfRule type="cellIs" dxfId="369" priority="289" operator="equal">
      <formula>" "</formula>
    </cfRule>
    <cfRule type="expression" dxfId="368" priority="295">
      <formula>OR(CA60="Sa",CA60="Di",CC60="F")</formula>
    </cfRule>
    <cfRule type="expression" dxfId="367" priority="296">
      <formula>CA60&lt;&gt;""</formula>
    </cfRule>
  </conditionalFormatting>
  <conditionalFormatting sqref="CD60">
    <cfRule type="cellIs" dxfId="366" priority="293" operator="equal">
      <formula>" "</formula>
    </cfRule>
    <cfRule type="expression" dxfId="365" priority="294">
      <formula>OR(CA60="Sa",CA60="Di",CC60="F")</formula>
    </cfRule>
    <cfRule type="expression" dxfId="364" priority="297">
      <formula>CA60&lt;&gt;""</formula>
    </cfRule>
  </conditionalFormatting>
  <conditionalFormatting sqref="CE60">
    <cfRule type="cellIs" dxfId="363" priority="290" operator="equal">
      <formula>" "</formula>
    </cfRule>
    <cfRule type="expression" dxfId="362" priority="291">
      <formula>OR(CA60="Sa",CA60="Di",CC60="F")</formula>
    </cfRule>
    <cfRule type="expression" dxfId="361" priority="292">
      <formula>CB60&lt;&gt;""</formula>
    </cfRule>
  </conditionalFormatting>
  <conditionalFormatting sqref="CF62">
    <cfRule type="cellIs" dxfId="360" priority="280" operator="equal">
      <formula>" "</formula>
    </cfRule>
    <cfRule type="expression" dxfId="359" priority="286">
      <formula>OR(CA62="Sa",CA62="Di",CC62="F")</formula>
    </cfRule>
    <cfRule type="expression" dxfId="358" priority="287">
      <formula>CA62&lt;&gt;""</formula>
    </cfRule>
  </conditionalFormatting>
  <conditionalFormatting sqref="CD62">
    <cfRule type="cellIs" dxfId="357" priority="284" operator="equal">
      <formula>" "</formula>
    </cfRule>
    <cfRule type="expression" dxfId="356" priority="285">
      <formula>OR(CA62="Sa",CA62="Di",CC62="F")</formula>
    </cfRule>
    <cfRule type="expression" dxfId="355" priority="288">
      <formula>CA62&lt;&gt;""</formula>
    </cfRule>
  </conditionalFormatting>
  <conditionalFormatting sqref="CE62">
    <cfRule type="cellIs" dxfId="354" priority="281" operator="equal">
      <formula>" "</formula>
    </cfRule>
    <cfRule type="expression" dxfId="353" priority="282">
      <formula>OR(CA62="Sa",CA62="Di",CC62="F")</formula>
    </cfRule>
    <cfRule type="expression" dxfId="352" priority="283">
      <formula>CB62&lt;&gt;""</formula>
    </cfRule>
  </conditionalFormatting>
  <conditionalFormatting sqref="CF64">
    <cfRule type="cellIs" dxfId="351" priority="271" operator="equal">
      <formula>" "</formula>
    </cfRule>
    <cfRule type="expression" dxfId="350" priority="277">
      <formula>OR(CA64="Sa",CA64="Di",CC64="F")</formula>
    </cfRule>
    <cfRule type="expression" dxfId="349" priority="278">
      <formula>CA64&lt;&gt;""</formula>
    </cfRule>
  </conditionalFormatting>
  <conditionalFormatting sqref="CD64">
    <cfRule type="cellIs" dxfId="348" priority="275" operator="equal">
      <formula>" "</formula>
    </cfRule>
    <cfRule type="expression" dxfId="347" priority="276">
      <formula>OR(CA64="Sa",CA64="Di",CC64="F")</formula>
    </cfRule>
    <cfRule type="expression" dxfId="346" priority="279">
      <formula>CA64&lt;&gt;""</formula>
    </cfRule>
  </conditionalFormatting>
  <conditionalFormatting sqref="CE64">
    <cfRule type="cellIs" dxfId="345" priority="272" operator="equal">
      <formula>" "</formula>
    </cfRule>
    <cfRule type="expression" dxfId="344" priority="273">
      <formula>OR(CA64="Sa",CA64="Di",CC64="F")</formula>
    </cfRule>
    <cfRule type="expression" dxfId="343" priority="274">
      <formula>CB64&lt;&gt;""</formula>
    </cfRule>
  </conditionalFormatting>
  <conditionalFormatting sqref="CF66">
    <cfRule type="cellIs" dxfId="342" priority="262" operator="equal">
      <formula>" "</formula>
    </cfRule>
    <cfRule type="expression" dxfId="341" priority="268">
      <formula>OR(CA66="Sa",CA66="Di",CC66="F")</formula>
    </cfRule>
    <cfRule type="expression" dxfId="340" priority="269">
      <formula>CA66&lt;&gt;""</formula>
    </cfRule>
  </conditionalFormatting>
  <conditionalFormatting sqref="CD66">
    <cfRule type="cellIs" dxfId="339" priority="266" operator="equal">
      <formula>" "</formula>
    </cfRule>
    <cfRule type="expression" dxfId="338" priority="267">
      <formula>OR(CA66="Sa",CA66="Di",CC66="F")</formula>
    </cfRule>
    <cfRule type="expression" dxfId="337" priority="270">
      <formula>CA66&lt;&gt;""</formula>
    </cfRule>
  </conditionalFormatting>
  <conditionalFormatting sqref="CE66">
    <cfRule type="cellIs" dxfId="336" priority="263" operator="equal">
      <formula>" "</formula>
    </cfRule>
    <cfRule type="expression" dxfId="335" priority="264">
      <formula>OR(CA66="Sa",CA66="Di",CC66="F")</formula>
    </cfRule>
    <cfRule type="expression" dxfId="334" priority="265">
      <formula>CB66&lt;&gt;""</formula>
    </cfRule>
  </conditionalFormatting>
  <conditionalFormatting sqref="G10">
    <cfRule type="cellIs" dxfId="333" priority="253" operator="equal">
      <formula>" "</formula>
    </cfRule>
    <cfRule type="expression" dxfId="332" priority="259">
      <formula>OR(B10="Sa",B10="Di",D10="F")</formula>
    </cfRule>
    <cfRule type="expression" dxfId="331" priority="260">
      <formula>B10&lt;&gt;""</formula>
    </cfRule>
  </conditionalFormatting>
  <conditionalFormatting sqref="E10">
    <cfRule type="cellIs" dxfId="330" priority="257" operator="equal">
      <formula>" "</formula>
    </cfRule>
    <cfRule type="expression" dxfId="329" priority="258">
      <formula>OR(B10="Sa",B10="Di",D10="F")</formula>
    </cfRule>
    <cfRule type="expression" dxfId="328" priority="261">
      <formula>B10&lt;&gt;""</formula>
    </cfRule>
  </conditionalFormatting>
  <conditionalFormatting sqref="F10">
    <cfRule type="cellIs" dxfId="327" priority="254" operator="equal">
      <formula>" "</formula>
    </cfRule>
    <cfRule type="expression" dxfId="326" priority="255">
      <formula>OR(B10="Sa",B10="Di",D10="F")</formula>
    </cfRule>
    <cfRule type="expression" dxfId="325" priority="256">
      <formula>C10&lt;&gt;""</formula>
    </cfRule>
  </conditionalFormatting>
  <conditionalFormatting sqref="G12">
    <cfRule type="cellIs" dxfId="324" priority="244" operator="equal">
      <formula>" "</formula>
    </cfRule>
    <cfRule type="expression" dxfId="323" priority="250">
      <formula>OR(B12="Sa",B12="Di",D12="F")</formula>
    </cfRule>
    <cfRule type="expression" dxfId="322" priority="251">
      <formula>B12&lt;&gt;""</formula>
    </cfRule>
  </conditionalFormatting>
  <conditionalFormatting sqref="E12">
    <cfRule type="cellIs" dxfId="321" priority="248" operator="equal">
      <formula>" "</formula>
    </cfRule>
    <cfRule type="expression" dxfId="320" priority="249">
      <formula>OR(B12="Sa",B12="Di",D12="F")</formula>
    </cfRule>
    <cfRule type="expression" dxfId="319" priority="252">
      <formula>B12&lt;&gt;""</formula>
    </cfRule>
  </conditionalFormatting>
  <conditionalFormatting sqref="F12">
    <cfRule type="cellIs" dxfId="318" priority="245" operator="equal">
      <formula>" "</formula>
    </cfRule>
    <cfRule type="expression" dxfId="317" priority="246">
      <formula>OR(B12="Sa",B12="Di",D12="F")</formula>
    </cfRule>
    <cfRule type="expression" dxfId="316" priority="247">
      <formula>C12&lt;&gt;""</formula>
    </cfRule>
  </conditionalFormatting>
  <conditionalFormatting sqref="G14">
    <cfRule type="cellIs" dxfId="315" priority="235" operator="equal">
      <formula>" "</formula>
    </cfRule>
    <cfRule type="expression" dxfId="314" priority="241">
      <formula>OR(B14="Sa",B14="Di",D14="F")</formula>
    </cfRule>
    <cfRule type="expression" dxfId="313" priority="242">
      <formula>B14&lt;&gt;""</formula>
    </cfRule>
  </conditionalFormatting>
  <conditionalFormatting sqref="E14">
    <cfRule type="cellIs" dxfId="312" priority="239" operator="equal">
      <formula>" "</formula>
    </cfRule>
    <cfRule type="expression" dxfId="311" priority="240">
      <formula>OR(B14="Sa",B14="Di",D14="F")</formula>
    </cfRule>
    <cfRule type="expression" dxfId="310" priority="243">
      <formula>B14&lt;&gt;""</formula>
    </cfRule>
  </conditionalFormatting>
  <conditionalFormatting sqref="F14">
    <cfRule type="cellIs" dxfId="309" priority="236" operator="equal">
      <formula>" "</formula>
    </cfRule>
    <cfRule type="expression" dxfId="308" priority="237">
      <formula>OR(B14="Sa",B14="Di",D14="F")</formula>
    </cfRule>
    <cfRule type="expression" dxfId="307" priority="238">
      <formula>C14&lt;&gt;""</formula>
    </cfRule>
  </conditionalFormatting>
  <conditionalFormatting sqref="G16">
    <cfRule type="cellIs" dxfId="306" priority="226" operator="equal">
      <formula>" "</formula>
    </cfRule>
    <cfRule type="expression" dxfId="305" priority="232">
      <formula>OR(B16="Sa",B16="Di",D16="F")</formula>
    </cfRule>
    <cfRule type="expression" dxfId="304" priority="233">
      <formula>B16&lt;&gt;""</formula>
    </cfRule>
  </conditionalFormatting>
  <conditionalFormatting sqref="E16">
    <cfRule type="cellIs" dxfId="303" priority="230" operator="equal">
      <formula>" "</formula>
    </cfRule>
    <cfRule type="expression" dxfId="302" priority="231">
      <formula>OR(B16="Sa",B16="Di",D16="F")</formula>
    </cfRule>
    <cfRule type="expression" dxfId="301" priority="234">
      <formula>B16&lt;&gt;""</formula>
    </cfRule>
  </conditionalFormatting>
  <conditionalFormatting sqref="F16">
    <cfRule type="cellIs" dxfId="300" priority="227" operator="equal">
      <formula>" "</formula>
    </cfRule>
    <cfRule type="expression" dxfId="299" priority="228">
      <formula>OR(B16="Sa",B16="Di",D16="F")</formula>
    </cfRule>
    <cfRule type="expression" dxfId="298" priority="229">
      <formula>C16&lt;&gt;""</formula>
    </cfRule>
  </conditionalFormatting>
  <conditionalFormatting sqref="G18">
    <cfRule type="cellIs" dxfId="297" priority="217" operator="equal">
      <formula>" "</formula>
    </cfRule>
    <cfRule type="expression" dxfId="296" priority="223">
      <formula>OR(B18="Sa",B18="Di",D18="F")</formula>
    </cfRule>
    <cfRule type="expression" dxfId="295" priority="224">
      <formula>B18&lt;&gt;""</formula>
    </cfRule>
  </conditionalFormatting>
  <conditionalFormatting sqref="E18">
    <cfRule type="cellIs" dxfId="294" priority="221" operator="equal">
      <formula>" "</formula>
    </cfRule>
    <cfRule type="expression" dxfId="293" priority="222">
      <formula>OR(B18="Sa",B18="Di",D18="F")</formula>
    </cfRule>
    <cfRule type="expression" dxfId="292" priority="225">
      <formula>B18&lt;&gt;""</formula>
    </cfRule>
  </conditionalFormatting>
  <conditionalFormatting sqref="F18">
    <cfRule type="cellIs" dxfId="291" priority="218" operator="equal">
      <formula>" "</formula>
    </cfRule>
    <cfRule type="expression" dxfId="290" priority="219">
      <formula>OR(B18="Sa",B18="Di",D18="F")</formula>
    </cfRule>
    <cfRule type="expression" dxfId="289" priority="220">
      <formula>C18&lt;&gt;""</formula>
    </cfRule>
  </conditionalFormatting>
  <conditionalFormatting sqref="G20">
    <cfRule type="cellIs" dxfId="288" priority="208" operator="equal">
      <formula>" "</formula>
    </cfRule>
    <cfRule type="expression" dxfId="287" priority="214">
      <formula>OR(B20="Sa",B20="Di",D20="F")</formula>
    </cfRule>
    <cfRule type="expression" dxfId="286" priority="215">
      <formula>B20&lt;&gt;""</formula>
    </cfRule>
  </conditionalFormatting>
  <conditionalFormatting sqref="E20">
    <cfRule type="cellIs" dxfId="285" priority="212" operator="equal">
      <formula>" "</formula>
    </cfRule>
    <cfRule type="expression" dxfId="284" priority="213">
      <formula>OR(B20="Sa",B20="Di",D20="F")</formula>
    </cfRule>
    <cfRule type="expression" dxfId="283" priority="216">
      <formula>B20&lt;&gt;""</formula>
    </cfRule>
  </conditionalFormatting>
  <conditionalFormatting sqref="F20">
    <cfRule type="cellIs" dxfId="282" priority="209" operator="equal">
      <formula>" "</formula>
    </cfRule>
    <cfRule type="expression" dxfId="281" priority="210">
      <formula>OR(B20="Sa",B20="Di",D20="F")</formula>
    </cfRule>
    <cfRule type="expression" dxfId="280" priority="211">
      <formula>C20&lt;&gt;""</formula>
    </cfRule>
  </conditionalFormatting>
  <conditionalFormatting sqref="G22">
    <cfRule type="cellIs" dxfId="279" priority="199" operator="equal">
      <formula>" "</formula>
    </cfRule>
    <cfRule type="expression" dxfId="278" priority="205">
      <formula>OR(B22="Sa",B22="Di",D22="F")</formula>
    </cfRule>
    <cfRule type="expression" dxfId="277" priority="206">
      <formula>B22&lt;&gt;""</formula>
    </cfRule>
  </conditionalFormatting>
  <conditionalFormatting sqref="E22">
    <cfRule type="cellIs" dxfId="276" priority="203" operator="equal">
      <formula>" "</formula>
    </cfRule>
    <cfRule type="expression" dxfId="275" priority="204">
      <formula>OR(B22="Sa",B22="Di",D22="F")</formula>
    </cfRule>
    <cfRule type="expression" dxfId="274" priority="207">
      <formula>B22&lt;&gt;""</formula>
    </cfRule>
  </conditionalFormatting>
  <conditionalFormatting sqref="F22">
    <cfRule type="cellIs" dxfId="273" priority="200" operator="equal">
      <formula>" "</formula>
    </cfRule>
    <cfRule type="expression" dxfId="272" priority="201">
      <formula>OR(B22="Sa",B22="Di",D22="F")</formula>
    </cfRule>
    <cfRule type="expression" dxfId="271" priority="202">
      <formula>C22&lt;&gt;""</formula>
    </cfRule>
  </conditionalFormatting>
  <conditionalFormatting sqref="G24">
    <cfRule type="cellIs" dxfId="270" priority="190" operator="equal">
      <formula>" "</formula>
    </cfRule>
    <cfRule type="expression" dxfId="269" priority="196">
      <formula>OR(B24="Sa",B24="Di",D24="F")</formula>
    </cfRule>
    <cfRule type="expression" dxfId="268" priority="197">
      <formula>B24&lt;&gt;""</formula>
    </cfRule>
  </conditionalFormatting>
  <conditionalFormatting sqref="E24">
    <cfRule type="cellIs" dxfId="267" priority="194" operator="equal">
      <formula>" "</formula>
    </cfRule>
    <cfRule type="expression" dxfId="266" priority="195">
      <formula>OR(B24="Sa",B24="Di",D24="F")</formula>
    </cfRule>
    <cfRule type="expression" dxfId="265" priority="198">
      <formula>B24&lt;&gt;""</formula>
    </cfRule>
  </conditionalFormatting>
  <conditionalFormatting sqref="F24">
    <cfRule type="cellIs" dxfId="264" priority="191" operator="equal">
      <formula>" "</formula>
    </cfRule>
    <cfRule type="expression" dxfId="263" priority="192">
      <formula>OR(B24="Sa",B24="Di",D24="F")</formula>
    </cfRule>
    <cfRule type="expression" dxfId="262" priority="193">
      <formula>C24&lt;&gt;""</formula>
    </cfRule>
  </conditionalFormatting>
  <conditionalFormatting sqref="G26">
    <cfRule type="cellIs" dxfId="261" priority="181" operator="equal">
      <formula>" "</formula>
    </cfRule>
    <cfRule type="expression" dxfId="260" priority="187">
      <formula>OR(B26="Sa",B26="Di",D26="F")</formula>
    </cfRule>
    <cfRule type="expression" dxfId="259" priority="188">
      <formula>B26&lt;&gt;""</formula>
    </cfRule>
  </conditionalFormatting>
  <conditionalFormatting sqref="E26">
    <cfRule type="cellIs" dxfId="258" priority="185" operator="equal">
      <formula>" "</formula>
    </cfRule>
    <cfRule type="expression" dxfId="257" priority="186">
      <formula>OR(B26="Sa",B26="Di",D26="F")</formula>
    </cfRule>
    <cfRule type="expression" dxfId="256" priority="189">
      <formula>B26&lt;&gt;""</formula>
    </cfRule>
  </conditionalFormatting>
  <conditionalFormatting sqref="F26">
    <cfRule type="cellIs" dxfId="255" priority="182" operator="equal">
      <formula>" "</formula>
    </cfRule>
    <cfRule type="expression" dxfId="254" priority="183">
      <formula>OR(B26="Sa",B26="Di",D26="F")</formula>
    </cfRule>
    <cfRule type="expression" dxfId="253" priority="184">
      <formula>C26&lt;&gt;""</formula>
    </cfRule>
  </conditionalFormatting>
  <conditionalFormatting sqref="G28">
    <cfRule type="cellIs" dxfId="252" priority="172" operator="equal">
      <formula>" "</formula>
    </cfRule>
    <cfRule type="expression" dxfId="251" priority="178">
      <formula>OR(B28="Sa",B28="Di",D28="F")</formula>
    </cfRule>
    <cfRule type="expression" dxfId="250" priority="179">
      <formula>B28&lt;&gt;""</formula>
    </cfRule>
  </conditionalFormatting>
  <conditionalFormatting sqref="E28">
    <cfRule type="cellIs" dxfId="249" priority="176" operator="equal">
      <formula>" "</formula>
    </cfRule>
    <cfRule type="expression" dxfId="248" priority="177">
      <formula>OR(B28="Sa",B28="Di",D28="F")</formula>
    </cfRule>
    <cfRule type="expression" dxfId="247" priority="180">
      <formula>B28&lt;&gt;""</formula>
    </cfRule>
  </conditionalFormatting>
  <conditionalFormatting sqref="F28">
    <cfRule type="cellIs" dxfId="246" priority="173" operator="equal">
      <formula>" "</formula>
    </cfRule>
    <cfRule type="expression" dxfId="245" priority="174">
      <formula>OR(B28="Sa",B28="Di",D28="F")</formula>
    </cfRule>
    <cfRule type="expression" dxfId="244" priority="175">
      <formula>C28&lt;&gt;""</formula>
    </cfRule>
  </conditionalFormatting>
  <conditionalFormatting sqref="G30">
    <cfRule type="cellIs" dxfId="243" priority="163" operator="equal">
      <formula>" "</formula>
    </cfRule>
    <cfRule type="expression" dxfId="242" priority="169">
      <formula>OR(B30="Sa",B30="Di",D30="F")</formula>
    </cfRule>
    <cfRule type="expression" dxfId="241" priority="170">
      <formula>B30&lt;&gt;""</formula>
    </cfRule>
  </conditionalFormatting>
  <conditionalFormatting sqref="E30">
    <cfRule type="cellIs" dxfId="240" priority="167" operator="equal">
      <formula>" "</formula>
    </cfRule>
    <cfRule type="expression" dxfId="239" priority="168">
      <formula>OR(B30="Sa",B30="Di",D30="F")</formula>
    </cfRule>
    <cfRule type="expression" dxfId="238" priority="171">
      <formula>B30&lt;&gt;""</formula>
    </cfRule>
  </conditionalFormatting>
  <conditionalFormatting sqref="F30">
    <cfRule type="cellIs" dxfId="237" priority="164" operator="equal">
      <formula>" "</formula>
    </cfRule>
    <cfRule type="expression" dxfId="236" priority="165">
      <formula>OR(B30="Sa",B30="Di",D30="F")</formula>
    </cfRule>
    <cfRule type="expression" dxfId="235" priority="166">
      <formula>C30&lt;&gt;""</formula>
    </cfRule>
  </conditionalFormatting>
  <conditionalFormatting sqref="G32">
    <cfRule type="cellIs" dxfId="234" priority="154" operator="equal">
      <formula>" "</formula>
    </cfRule>
    <cfRule type="expression" dxfId="233" priority="160">
      <formula>OR(B32="Sa",B32="Di",D32="F")</formula>
    </cfRule>
    <cfRule type="expression" dxfId="232" priority="161">
      <formula>B32&lt;&gt;""</formula>
    </cfRule>
  </conditionalFormatting>
  <conditionalFormatting sqref="E32">
    <cfRule type="cellIs" dxfId="231" priority="158" operator="equal">
      <formula>" "</formula>
    </cfRule>
    <cfRule type="expression" dxfId="230" priority="159">
      <formula>OR(B32="Sa",B32="Di",D32="F")</formula>
    </cfRule>
    <cfRule type="expression" dxfId="229" priority="162">
      <formula>B32&lt;&gt;""</formula>
    </cfRule>
  </conditionalFormatting>
  <conditionalFormatting sqref="F32">
    <cfRule type="cellIs" dxfId="228" priority="155" operator="equal">
      <formula>" "</formula>
    </cfRule>
    <cfRule type="expression" dxfId="227" priority="156">
      <formula>OR(B32="Sa",B32="Di",D32="F")</formula>
    </cfRule>
    <cfRule type="expression" dxfId="226" priority="157">
      <formula>C32&lt;&gt;""</formula>
    </cfRule>
  </conditionalFormatting>
  <conditionalFormatting sqref="G34">
    <cfRule type="cellIs" dxfId="225" priority="145" operator="equal">
      <formula>" "</formula>
    </cfRule>
    <cfRule type="expression" dxfId="224" priority="151">
      <formula>OR(B34="Sa",B34="Di",D34="F")</formula>
    </cfRule>
    <cfRule type="expression" dxfId="223" priority="152">
      <formula>B34&lt;&gt;""</formula>
    </cfRule>
  </conditionalFormatting>
  <conditionalFormatting sqref="E34">
    <cfRule type="cellIs" dxfId="222" priority="149" operator="equal">
      <formula>" "</formula>
    </cfRule>
    <cfRule type="expression" dxfId="221" priority="150">
      <formula>OR(B34="Sa",B34="Di",D34="F")</formula>
    </cfRule>
    <cfRule type="expression" dxfId="220" priority="153">
      <formula>B34&lt;&gt;""</formula>
    </cfRule>
  </conditionalFormatting>
  <conditionalFormatting sqref="F34">
    <cfRule type="cellIs" dxfId="219" priority="146" operator="equal">
      <formula>" "</formula>
    </cfRule>
    <cfRule type="expression" dxfId="218" priority="147">
      <formula>OR(B34="Sa",B34="Di",D34="F")</formula>
    </cfRule>
    <cfRule type="expression" dxfId="217" priority="148">
      <formula>C34&lt;&gt;""</formula>
    </cfRule>
  </conditionalFormatting>
  <conditionalFormatting sqref="G36">
    <cfRule type="cellIs" dxfId="216" priority="136" operator="equal">
      <formula>" "</formula>
    </cfRule>
    <cfRule type="expression" dxfId="215" priority="142">
      <formula>OR(B36="Sa",B36="Di",D36="F")</formula>
    </cfRule>
    <cfRule type="expression" dxfId="214" priority="143">
      <formula>B36&lt;&gt;""</formula>
    </cfRule>
  </conditionalFormatting>
  <conditionalFormatting sqref="E36">
    <cfRule type="cellIs" dxfId="213" priority="140" operator="equal">
      <formula>" "</formula>
    </cfRule>
    <cfRule type="expression" dxfId="212" priority="141">
      <formula>OR(B36="Sa",B36="Di",D36="F")</formula>
    </cfRule>
    <cfRule type="expression" dxfId="211" priority="144">
      <formula>B36&lt;&gt;""</formula>
    </cfRule>
  </conditionalFormatting>
  <conditionalFormatting sqref="F36">
    <cfRule type="cellIs" dxfId="210" priority="137" operator="equal">
      <formula>" "</formula>
    </cfRule>
    <cfRule type="expression" dxfId="209" priority="138">
      <formula>OR(B36="Sa",B36="Di",D36="F")</formula>
    </cfRule>
    <cfRule type="expression" dxfId="208" priority="139">
      <formula>C36&lt;&gt;""</formula>
    </cfRule>
  </conditionalFormatting>
  <conditionalFormatting sqref="G38">
    <cfRule type="cellIs" dxfId="207" priority="127" operator="equal">
      <formula>" "</formula>
    </cfRule>
    <cfRule type="expression" dxfId="206" priority="133">
      <formula>OR(B38="Sa",B38="Di",D38="F")</formula>
    </cfRule>
    <cfRule type="expression" dxfId="205" priority="134">
      <formula>B38&lt;&gt;""</formula>
    </cfRule>
  </conditionalFormatting>
  <conditionalFormatting sqref="E38">
    <cfRule type="cellIs" dxfId="204" priority="131" operator="equal">
      <formula>" "</formula>
    </cfRule>
    <cfRule type="expression" dxfId="203" priority="132">
      <formula>OR(B38="Sa",B38="Di",D38="F")</formula>
    </cfRule>
    <cfRule type="expression" dxfId="202" priority="135">
      <formula>B38&lt;&gt;""</formula>
    </cfRule>
  </conditionalFormatting>
  <conditionalFormatting sqref="F38">
    <cfRule type="cellIs" dxfId="201" priority="128" operator="equal">
      <formula>" "</formula>
    </cfRule>
    <cfRule type="expression" dxfId="200" priority="129">
      <formula>OR(B38="Sa",B38="Di",D38="F")</formula>
    </cfRule>
    <cfRule type="expression" dxfId="199" priority="130">
      <formula>C38&lt;&gt;""</formula>
    </cfRule>
  </conditionalFormatting>
  <conditionalFormatting sqref="G40">
    <cfRule type="cellIs" dxfId="198" priority="118" operator="equal">
      <formula>" "</formula>
    </cfRule>
    <cfRule type="expression" dxfId="197" priority="124">
      <formula>OR(B40="Sa",B40="Di",D40="F")</formula>
    </cfRule>
    <cfRule type="expression" dxfId="196" priority="125">
      <formula>B40&lt;&gt;""</formula>
    </cfRule>
  </conditionalFormatting>
  <conditionalFormatting sqref="E40">
    <cfRule type="cellIs" dxfId="195" priority="122" operator="equal">
      <formula>" "</formula>
    </cfRule>
    <cfRule type="expression" dxfId="194" priority="123">
      <formula>OR(B40="Sa",B40="Di",D40="F")</formula>
    </cfRule>
    <cfRule type="expression" dxfId="193" priority="126">
      <formula>B40&lt;&gt;""</formula>
    </cfRule>
  </conditionalFormatting>
  <conditionalFormatting sqref="F40">
    <cfRule type="cellIs" dxfId="192" priority="119" operator="equal">
      <formula>" "</formula>
    </cfRule>
    <cfRule type="expression" dxfId="191" priority="120">
      <formula>OR(B40="Sa",B40="Di",D40="F")</formula>
    </cfRule>
    <cfRule type="expression" dxfId="190" priority="121">
      <formula>C40&lt;&gt;""</formula>
    </cfRule>
  </conditionalFormatting>
  <conditionalFormatting sqref="G42">
    <cfRule type="cellIs" dxfId="189" priority="109" operator="equal">
      <formula>" "</formula>
    </cfRule>
    <cfRule type="expression" dxfId="188" priority="115">
      <formula>OR(B42="Sa",B42="Di",D42="F")</formula>
    </cfRule>
    <cfRule type="expression" dxfId="187" priority="116">
      <formula>B42&lt;&gt;""</formula>
    </cfRule>
  </conditionalFormatting>
  <conditionalFormatting sqref="E42">
    <cfRule type="cellIs" dxfId="186" priority="113" operator="equal">
      <formula>" "</formula>
    </cfRule>
    <cfRule type="expression" dxfId="185" priority="114">
      <formula>OR(B42="Sa",B42="Di",D42="F")</formula>
    </cfRule>
    <cfRule type="expression" dxfId="184" priority="117">
      <formula>B42&lt;&gt;""</formula>
    </cfRule>
  </conditionalFormatting>
  <conditionalFormatting sqref="F42">
    <cfRule type="cellIs" dxfId="183" priority="110" operator="equal">
      <formula>" "</formula>
    </cfRule>
    <cfRule type="expression" dxfId="182" priority="111">
      <formula>OR(B42="Sa",B42="Di",D42="F")</formula>
    </cfRule>
    <cfRule type="expression" dxfId="181" priority="112">
      <formula>C42&lt;&gt;""</formula>
    </cfRule>
  </conditionalFormatting>
  <conditionalFormatting sqref="G44">
    <cfRule type="cellIs" dxfId="180" priority="100" operator="equal">
      <formula>" "</formula>
    </cfRule>
    <cfRule type="expression" dxfId="179" priority="106">
      <formula>OR(B44="Sa",B44="Di",D44="F")</formula>
    </cfRule>
    <cfRule type="expression" dxfId="178" priority="107">
      <formula>B44&lt;&gt;""</formula>
    </cfRule>
  </conditionalFormatting>
  <conditionalFormatting sqref="E44">
    <cfRule type="cellIs" dxfId="177" priority="104" operator="equal">
      <formula>" "</formula>
    </cfRule>
    <cfRule type="expression" dxfId="176" priority="105">
      <formula>OR(B44="Sa",B44="Di",D44="F")</formula>
    </cfRule>
    <cfRule type="expression" dxfId="175" priority="108">
      <formula>B44&lt;&gt;""</formula>
    </cfRule>
  </conditionalFormatting>
  <conditionalFormatting sqref="F44">
    <cfRule type="cellIs" dxfId="174" priority="101" operator="equal">
      <formula>" "</formula>
    </cfRule>
    <cfRule type="expression" dxfId="173" priority="102">
      <formula>OR(B44="Sa",B44="Di",D44="F")</formula>
    </cfRule>
    <cfRule type="expression" dxfId="172" priority="103">
      <formula>C44&lt;&gt;""</formula>
    </cfRule>
  </conditionalFormatting>
  <conditionalFormatting sqref="G46">
    <cfRule type="cellIs" dxfId="171" priority="91" operator="equal">
      <formula>" "</formula>
    </cfRule>
    <cfRule type="expression" dxfId="170" priority="97">
      <formula>OR(B46="Sa",B46="Di",D46="F")</formula>
    </cfRule>
    <cfRule type="expression" dxfId="169" priority="98">
      <formula>B46&lt;&gt;""</formula>
    </cfRule>
  </conditionalFormatting>
  <conditionalFormatting sqref="E46">
    <cfRule type="cellIs" dxfId="168" priority="95" operator="equal">
      <formula>" "</formula>
    </cfRule>
    <cfRule type="expression" dxfId="167" priority="96">
      <formula>OR(B46="Sa",B46="Di",D46="F")</formula>
    </cfRule>
    <cfRule type="expression" dxfId="166" priority="99">
      <formula>B46&lt;&gt;""</formula>
    </cfRule>
  </conditionalFormatting>
  <conditionalFormatting sqref="F46">
    <cfRule type="cellIs" dxfId="165" priority="92" operator="equal">
      <formula>" "</formula>
    </cfRule>
    <cfRule type="expression" dxfId="164" priority="93">
      <formula>OR(B46="Sa",B46="Di",D46="F")</formula>
    </cfRule>
    <cfRule type="expression" dxfId="163" priority="94">
      <formula>C46&lt;&gt;""</formula>
    </cfRule>
  </conditionalFormatting>
  <conditionalFormatting sqref="G48">
    <cfRule type="cellIs" dxfId="162" priority="82" operator="equal">
      <formula>" "</formula>
    </cfRule>
    <cfRule type="expression" dxfId="161" priority="88">
      <formula>OR(B48="Sa",B48="Di",D48="F")</formula>
    </cfRule>
    <cfRule type="expression" dxfId="160" priority="89">
      <formula>B48&lt;&gt;""</formula>
    </cfRule>
  </conditionalFormatting>
  <conditionalFormatting sqref="E48">
    <cfRule type="cellIs" dxfId="159" priority="86" operator="equal">
      <formula>" "</formula>
    </cfRule>
    <cfRule type="expression" dxfId="158" priority="87">
      <formula>OR(B48="Sa",B48="Di",D48="F")</formula>
    </cfRule>
    <cfRule type="expression" dxfId="157" priority="90">
      <formula>B48&lt;&gt;""</formula>
    </cfRule>
  </conditionalFormatting>
  <conditionalFormatting sqref="F48">
    <cfRule type="cellIs" dxfId="156" priority="83" operator="equal">
      <formula>" "</formula>
    </cfRule>
    <cfRule type="expression" dxfId="155" priority="84">
      <formula>OR(B48="Sa",B48="Di",D48="F")</formula>
    </cfRule>
    <cfRule type="expression" dxfId="154" priority="85">
      <formula>C48&lt;&gt;""</formula>
    </cfRule>
  </conditionalFormatting>
  <conditionalFormatting sqref="G50">
    <cfRule type="cellIs" dxfId="153" priority="73" operator="equal">
      <formula>" "</formula>
    </cfRule>
    <cfRule type="expression" dxfId="152" priority="79">
      <formula>OR(B50="Sa",B50="Di",D50="F")</formula>
    </cfRule>
    <cfRule type="expression" dxfId="151" priority="80">
      <formula>B50&lt;&gt;""</formula>
    </cfRule>
  </conditionalFormatting>
  <conditionalFormatting sqref="E50">
    <cfRule type="cellIs" dxfId="150" priority="77" operator="equal">
      <formula>" "</formula>
    </cfRule>
    <cfRule type="expression" dxfId="149" priority="78">
      <formula>OR(B50="Sa",B50="Di",D50="F")</formula>
    </cfRule>
    <cfRule type="expression" dxfId="148" priority="81">
      <formula>B50&lt;&gt;""</formula>
    </cfRule>
  </conditionalFormatting>
  <conditionalFormatting sqref="F50">
    <cfRule type="cellIs" dxfId="147" priority="74" operator="equal">
      <formula>" "</formula>
    </cfRule>
    <cfRule type="expression" dxfId="146" priority="75">
      <formula>OR(B50="Sa",B50="Di",D50="F")</formula>
    </cfRule>
    <cfRule type="expression" dxfId="145" priority="76">
      <formula>C50&lt;&gt;""</formula>
    </cfRule>
  </conditionalFormatting>
  <conditionalFormatting sqref="G52">
    <cfRule type="cellIs" dxfId="144" priority="64" operator="equal">
      <formula>" "</formula>
    </cfRule>
    <cfRule type="expression" dxfId="143" priority="70">
      <formula>OR(B52="Sa",B52="Di",D52="F")</formula>
    </cfRule>
    <cfRule type="expression" dxfId="142" priority="71">
      <formula>B52&lt;&gt;""</formula>
    </cfRule>
  </conditionalFormatting>
  <conditionalFormatting sqref="E52">
    <cfRule type="cellIs" dxfId="141" priority="68" operator="equal">
      <formula>" "</formula>
    </cfRule>
    <cfRule type="expression" dxfId="140" priority="69">
      <formula>OR(B52="Sa",B52="Di",D52="F")</formula>
    </cfRule>
    <cfRule type="expression" dxfId="139" priority="72">
      <formula>B52&lt;&gt;""</formula>
    </cfRule>
  </conditionalFormatting>
  <conditionalFormatting sqref="F52">
    <cfRule type="cellIs" dxfId="138" priority="65" operator="equal">
      <formula>" "</formula>
    </cfRule>
    <cfRule type="expression" dxfId="137" priority="66">
      <formula>OR(B52="Sa",B52="Di",D52="F")</formula>
    </cfRule>
    <cfRule type="expression" dxfId="136" priority="67">
      <formula>C52&lt;&gt;""</formula>
    </cfRule>
  </conditionalFormatting>
  <conditionalFormatting sqref="G54">
    <cfRule type="cellIs" dxfId="135" priority="55" operator="equal">
      <formula>" "</formula>
    </cfRule>
    <cfRule type="expression" dxfId="134" priority="61">
      <formula>OR(B54="Sa",B54="Di",D54="F")</formula>
    </cfRule>
    <cfRule type="expression" dxfId="133" priority="62">
      <formula>B54&lt;&gt;""</formula>
    </cfRule>
  </conditionalFormatting>
  <conditionalFormatting sqref="E54">
    <cfRule type="cellIs" dxfId="132" priority="59" operator="equal">
      <formula>" "</formula>
    </cfRule>
    <cfRule type="expression" dxfId="131" priority="60">
      <formula>OR(B54="Sa",B54="Di",D54="F")</formula>
    </cfRule>
    <cfRule type="expression" dxfId="130" priority="63">
      <formula>B54&lt;&gt;""</formula>
    </cfRule>
  </conditionalFormatting>
  <conditionalFormatting sqref="F54">
    <cfRule type="cellIs" dxfId="129" priority="56" operator="equal">
      <formula>" "</formula>
    </cfRule>
    <cfRule type="expression" dxfId="128" priority="57">
      <formula>OR(B54="Sa",B54="Di",D54="F")</formula>
    </cfRule>
    <cfRule type="expression" dxfId="127" priority="58">
      <formula>C54&lt;&gt;""</formula>
    </cfRule>
  </conditionalFormatting>
  <conditionalFormatting sqref="G56">
    <cfRule type="cellIs" dxfId="126" priority="46" operator="equal">
      <formula>" "</formula>
    </cfRule>
    <cfRule type="expression" dxfId="125" priority="52">
      <formula>OR(B56="Sa",B56="Di",D56="F")</formula>
    </cfRule>
    <cfRule type="expression" dxfId="124" priority="53">
      <formula>B56&lt;&gt;""</formula>
    </cfRule>
  </conditionalFormatting>
  <conditionalFormatting sqref="E56">
    <cfRule type="cellIs" dxfId="123" priority="50" operator="equal">
      <formula>" "</formula>
    </cfRule>
    <cfRule type="expression" dxfId="122" priority="51">
      <formula>OR(B56="Sa",B56="Di",D56="F")</formula>
    </cfRule>
    <cfRule type="expression" dxfId="121" priority="54">
      <formula>B56&lt;&gt;""</formula>
    </cfRule>
  </conditionalFormatting>
  <conditionalFormatting sqref="F56">
    <cfRule type="cellIs" dxfId="120" priority="47" operator="equal">
      <formula>" "</formula>
    </cfRule>
    <cfRule type="expression" dxfId="119" priority="48">
      <formula>OR(B56="Sa",B56="Di",D56="F")</formula>
    </cfRule>
    <cfRule type="expression" dxfId="118" priority="49">
      <formula>C56&lt;&gt;""</formula>
    </cfRule>
  </conditionalFormatting>
  <conditionalFormatting sqref="G58">
    <cfRule type="cellIs" dxfId="117" priority="37" operator="equal">
      <formula>" "</formula>
    </cfRule>
    <cfRule type="expression" dxfId="116" priority="43">
      <formula>OR(B58="Sa",B58="Di",D58="F")</formula>
    </cfRule>
    <cfRule type="expression" dxfId="115" priority="44">
      <formula>B58&lt;&gt;""</formula>
    </cfRule>
  </conditionalFormatting>
  <conditionalFormatting sqref="E58">
    <cfRule type="cellIs" dxfId="114" priority="41" operator="equal">
      <formula>" "</formula>
    </cfRule>
    <cfRule type="expression" dxfId="113" priority="42">
      <formula>OR(B58="Sa",B58="Di",D58="F")</formula>
    </cfRule>
    <cfRule type="expression" dxfId="112" priority="45">
      <formula>B58&lt;&gt;""</formula>
    </cfRule>
  </conditionalFormatting>
  <conditionalFormatting sqref="F58">
    <cfRule type="cellIs" dxfId="111" priority="38" operator="equal">
      <formula>" "</formula>
    </cfRule>
    <cfRule type="expression" dxfId="110" priority="39">
      <formula>OR(B58="Sa",B58="Di",D58="F")</formula>
    </cfRule>
    <cfRule type="expression" dxfId="109" priority="40">
      <formula>C58&lt;&gt;""</formula>
    </cfRule>
  </conditionalFormatting>
  <conditionalFormatting sqref="G60">
    <cfRule type="cellIs" dxfId="108" priority="28" operator="equal">
      <formula>" "</formula>
    </cfRule>
    <cfRule type="expression" dxfId="107" priority="34">
      <formula>OR(B60="Sa",B60="Di",D60="F")</formula>
    </cfRule>
    <cfRule type="expression" dxfId="106" priority="35">
      <formula>B60&lt;&gt;""</formula>
    </cfRule>
  </conditionalFormatting>
  <conditionalFormatting sqref="E60">
    <cfRule type="cellIs" dxfId="105" priority="32" operator="equal">
      <formula>" "</formula>
    </cfRule>
    <cfRule type="expression" dxfId="104" priority="33">
      <formula>OR(B60="Sa",B60="Di",D60="F")</formula>
    </cfRule>
    <cfRule type="expression" dxfId="103" priority="36">
      <formula>B60&lt;&gt;""</formula>
    </cfRule>
  </conditionalFormatting>
  <conditionalFormatting sqref="F60">
    <cfRule type="cellIs" dxfId="102" priority="29" operator="equal">
      <formula>" "</formula>
    </cfRule>
    <cfRule type="expression" dxfId="101" priority="30">
      <formula>OR(B60="Sa",B60="Di",D60="F")</formula>
    </cfRule>
    <cfRule type="expression" dxfId="100" priority="31">
      <formula>C60&lt;&gt;""</formula>
    </cfRule>
  </conditionalFormatting>
  <conditionalFormatting sqref="G62">
    <cfRule type="cellIs" dxfId="99" priority="19" operator="equal">
      <formula>" "</formula>
    </cfRule>
    <cfRule type="expression" dxfId="98" priority="25">
      <formula>OR(B62="Sa",B62="Di",D62="F")</formula>
    </cfRule>
    <cfRule type="expression" dxfId="97" priority="26">
      <formula>B62&lt;&gt;""</formula>
    </cfRule>
  </conditionalFormatting>
  <conditionalFormatting sqref="E62">
    <cfRule type="cellIs" dxfId="96" priority="23" operator="equal">
      <formula>" "</formula>
    </cfRule>
    <cfRule type="expression" dxfId="95" priority="24">
      <formula>OR(B62="Sa",B62="Di",D62="F")</formula>
    </cfRule>
    <cfRule type="expression" dxfId="94" priority="27">
      <formula>B62&lt;&gt;""</formula>
    </cfRule>
  </conditionalFormatting>
  <conditionalFormatting sqref="F62">
    <cfRule type="cellIs" dxfId="93" priority="20" operator="equal">
      <formula>" "</formula>
    </cfRule>
    <cfRule type="expression" dxfId="92" priority="21">
      <formula>OR(B62="Sa",B62="Di",D62="F")</formula>
    </cfRule>
    <cfRule type="expression" dxfId="91" priority="22">
      <formula>C62&lt;&gt;""</formula>
    </cfRule>
  </conditionalFormatting>
  <conditionalFormatting sqref="G64">
    <cfRule type="cellIs" dxfId="90" priority="10" operator="equal">
      <formula>" "</formula>
    </cfRule>
    <cfRule type="expression" dxfId="89" priority="16">
      <formula>OR(B64="Sa",B64="Di",D64="F")</formula>
    </cfRule>
    <cfRule type="expression" dxfId="88" priority="17">
      <formula>B64&lt;&gt;""</formula>
    </cfRule>
  </conditionalFormatting>
  <conditionalFormatting sqref="E64">
    <cfRule type="cellIs" dxfId="87" priority="14" operator="equal">
      <formula>" "</formula>
    </cfRule>
    <cfRule type="expression" dxfId="86" priority="15">
      <formula>OR(B64="Sa",B64="Di",D64="F")</formula>
    </cfRule>
    <cfRule type="expression" dxfId="85" priority="18">
      <formula>B64&lt;&gt;""</formula>
    </cfRule>
  </conditionalFormatting>
  <conditionalFormatting sqref="F64">
    <cfRule type="cellIs" dxfId="84" priority="11" operator="equal">
      <formula>" "</formula>
    </cfRule>
    <cfRule type="expression" dxfId="83" priority="12">
      <formula>OR(B64="Sa",B64="Di",D64="F")</formula>
    </cfRule>
    <cfRule type="expression" dxfId="82" priority="13">
      <formula>C64&lt;&gt;""</formula>
    </cfRule>
  </conditionalFormatting>
  <conditionalFormatting sqref="G66">
    <cfRule type="cellIs" dxfId="81" priority="1" operator="equal">
      <formula>" "</formula>
    </cfRule>
    <cfRule type="expression" dxfId="80" priority="7">
      <formula>OR(B66="Sa",B66="Di",D66="F")</formula>
    </cfRule>
    <cfRule type="expression" dxfId="79" priority="8">
      <formula>B66&lt;&gt;""</formula>
    </cfRule>
  </conditionalFormatting>
  <conditionalFormatting sqref="E66">
    <cfRule type="cellIs" dxfId="78" priority="5" operator="equal">
      <formula>" "</formula>
    </cfRule>
    <cfRule type="expression" dxfId="77" priority="6">
      <formula>OR(B66="Sa",B66="Di",D66="F")</formula>
    </cfRule>
    <cfRule type="expression" dxfId="76" priority="9">
      <formula>B66&lt;&gt;""</formula>
    </cfRule>
  </conditionalFormatting>
  <conditionalFormatting sqref="F66">
    <cfRule type="cellIs" dxfId="75" priority="2" operator="equal">
      <formula>" "</formula>
    </cfRule>
    <cfRule type="expression" dxfId="74" priority="3">
      <formula>OR(B66="Sa",B66="Di",D66="F")</formula>
    </cfRule>
    <cfRule type="expression" dxfId="73" priority="4">
      <formula>C66&lt;&gt;""</formula>
    </cfRule>
  </conditionalFormatting>
  <printOptions horizontalCentered="1" verticalCentered="1"/>
  <pageMargins left="0.31" right="0.31" top="0.36000000000000004" bottom="0.36000000000000004" header="0" footer="0"/>
  <pageSetup paperSize="9" scale="63" fitToHeight="0" orientation="landscape"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Calculs!$U$3:$AH$3</xm:f>
          </x14:formula1>
          <xm:sqref>B68:G68 B70:G70 B72:G72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N103"/>
  <sheetViews>
    <sheetView showGridLines="0" topLeftCell="A9" zoomScale="54" zoomScaleNormal="54" zoomScalePageLayoutView="54" workbookViewId="0">
      <selection activeCell="C8" sqref="C8"/>
    </sheetView>
  </sheetViews>
  <sheetFormatPr baseColWidth="10" defaultColWidth="3.33203125" defaultRowHeight="13" x14ac:dyDescent="0.15"/>
  <cols>
    <col min="2" max="2" width="38.1640625" style="428" customWidth="1"/>
    <col min="3" max="64" width="5.33203125" style="437" customWidth="1"/>
    <col min="65" max="72" width="3.1640625" customWidth="1"/>
    <col min="73" max="73" width="12.6640625" bestFit="1" customWidth="1"/>
    <col min="74" max="74" width="9.33203125" bestFit="1" customWidth="1"/>
    <col min="75" max="75" width="15.6640625" bestFit="1" customWidth="1"/>
    <col min="76" max="76" width="15.33203125" bestFit="1" customWidth="1"/>
    <col min="77" max="77" width="10.1640625" bestFit="1" customWidth="1"/>
    <col min="78" max="78" width="11.33203125" bestFit="1" customWidth="1"/>
    <col min="79" max="79" width="9.33203125" bestFit="1" customWidth="1"/>
    <col min="80" max="80" width="12" bestFit="1" customWidth="1"/>
    <col min="81" max="81" width="9.33203125" bestFit="1" customWidth="1"/>
    <col min="82" max="90" width="9.33203125" customWidth="1"/>
    <col min="91" max="95" width="9.33203125" bestFit="1" customWidth="1"/>
    <col min="96" max="346" width="3.1640625" customWidth="1"/>
  </cols>
  <sheetData>
    <row r="1" spans="1:65" ht="23" customHeight="1" thickBot="1" x14ac:dyDescent="0.2">
      <c r="A1" s="442"/>
      <c r="B1" s="443"/>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62"/>
      <c r="BI1" s="462"/>
      <c r="BJ1" s="462"/>
      <c r="BK1" s="462"/>
      <c r="BL1" s="462"/>
      <c r="BM1" s="463"/>
    </row>
    <row r="2" spans="1:65" ht="76" customHeight="1" thickBot="1" x14ac:dyDescent="0.2">
      <c r="A2" s="445"/>
      <c r="B2" s="478">
        <v>0</v>
      </c>
      <c r="C2" s="486"/>
      <c r="D2" s="486"/>
      <c r="E2" s="486"/>
      <c r="F2" s="486"/>
      <c r="G2" s="486"/>
      <c r="H2" s="560" t="str">
        <f>IF(Introduction!D4="","",Introduction!D4)</f>
        <v/>
      </c>
      <c r="I2" s="560"/>
      <c r="J2" s="560"/>
      <c r="K2" s="560"/>
      <c r="L2" s="560"/>
      <c r="M2" s="560"/>
      <c r="N2" s="560"/>
      <c r="O2" s="560"/>
      <c r="P2" s="560"/>
      <c r="Q2" s="560"/>
      <c r="R2" s="560"/>
      <c r="S2" s="560"/>
      <c r="T2" s="560"/>
      <c r="U2" s="560"/>
      <c r="V2" s="560"/>
      <c r="W2" s="560"/>
      <c r="X2" s="560"/>
      <c r="Y2" s="560"/>
      <c r="Z2" s="560"/>
      <c r="AA2" s="560"/>
      <c r="AB2" s="560"/>
      <c r="AC2" s="560"/>
      <c r="AD2" s="560"/>
      <c r="AE2" s="560"/>
      <c r="AF2" s="560"/>
      <c r="AG2" s="486"/>
      <c r="AH2" s="559" t="str">
        <f>CONCATENATE( Introduction!D3," ",Plage_Cal)</f>
        <v>Mon calendrier 2021</v>
      </c>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464"/>
      <c r="BM2" s="450"/>
    </row>
    <row r="3" spans="1:65" ht="29" customHeight="1" x14ac:dyDescent="0.15">
      <c r="A3" s="445"/>
      <c r="B3" s="432"/>
      <c r="C3" s="485" t="str">
        <f ca="1">CONCATENATE("© Jean-Jacques Rey"," — ",MID(CELL("filename",A1),FIND("[",CELL("filename",A1))+1,SUM(FIND({"[";"]"},CELL("filename",A1))*{-1;1})-6))</f>
        <v>© Jean-Jacques Rey — My e-Calendar v2.6 public</v>
      </c>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50"/>
    </row>
    <row r="4" spans="1:65" s="457" customFormat="1" ht="39" customHeight="1" x14ac:dyDescent="0.15">
      <c r="A4" s="455"/>
      <c r="B4" s="466">
        <f>YEAR(C6)</f>
        <v>2021</v>
      </c>
      <c r="C4" s="458"/>
      <c r="D4" s="459"/>
      <c r="E4" s="459"/>
      <c r="F4" s="459"/>
      <c r="G4" s="459"/>
      <c r="H4" s="459"/>
      <c r="I4" s="459"/>
      <c r="J4" s="459"/>
      <c r="K4" s="459"/>
      <c r="L4" s="459"/>
      <c r="M4" s="459"/>
      <c r="N4" s="459"/>
      <c r="O4" s="459"/>
      <c r="P4" s="459"/>
      <c r="Q4" s="459"/>
      <c r="R4" s="465" t="str">
        <f>IF(Calculs!$C$90&lt;&gt;Calculs!$C$91,UPPER(TEXT(R6,"mmmm aaaa")),UPPER(TEXT(R6,"mmmm")))</f>
        <v>JANVIER</v>
      </c>
      <c r="S4" s="459"/>
      <c r="T4" s="459"/>
      <c r="U4" s="459"/>
      <c r="V4" s="459"/>
      <c r="W4" s="459"/>
      <c r="X4" s="459"/>
      <c r="Y4" s="459"/>
      <c r="Z4" s="459"/>
      <c r="AA4" s="459"/>
      <c r="AB4" s="459"/>
      <c r="AC4" s="459"/>
      <c r="AD4" s="459" t="str">
        <f>IF(DAY(AD6)=1,UPPER(TEXT(AD6,"MMMM")),"")</f>
        <v/>
      </c>
      <c r="AE4" s="459" t="str">
        <f t="shared" ref="AE4" si="0">IF(DAY(AE6)=1,UPPER(TEXT(AE6,"MMMM")),"")</f>
        <v/>
      </c>
      <c r="AF4" s="459"/>
      <c r="AG4" s="459"/>
      <c r="AH4" s="459"/>
      <c r="AI4" s="459"/>
      <c r="AJ4" s="459"/>
      <c r="AK4" s="459"/>
      <c r="AL4" s="459"/>
      <c r="AM4" s="459"/>
      <c r="AN4" s="459"/>
      <c r="AO4" s="459"/>
      <c r="AP4" s="459"/>
      <c r="AQ4" s="459"/>
      <c r="AR4" s="459"/>
      <c r="AS4" s="459"/>
      <c r="AT4" s="465"/>
      <c r="AU4" s="465"/>
      <c r="AV4" s="465"/>
      <c r="AW4" s="465" t="str">
        <f>IF(Calculs!$C$90&lt;&gt;Calculs!$C$91,UPPER(TEXT(AT6,"mmmm aaaa")),UPPER(TEXT(AT6,"mmmm")))</f>
        <v>FÉVRIER</v>
      </c>
      <c r="AX4" s="459"/>
      <c r="AY4" s="459"/>
      <c r="AZ4" s="459"/>
      <c r="BA4" s="459"/>
      <c r="BB4" s="459"/>
      <c r="BC4" s="459"/>
      <c r="BD4" s="459"/>
      <c r="BE4" s="459"/>
      <c r="BF4" s="459"/>
      <c r="BG4" s="459"/>
      <c r="BH4" s="459"/>
      <c r="BI4" s="459"/>
      <c r="BJ4" s="459"/>
      <c r="BK4" s="459"/>
      <c r="BL4" s="459"/>
      <c r="BM4" s="456"/>
    </row>
    <row r="5" spans="1:65" s="426" customFormat="1" ht="39" customHeight="1" x14ac:dyDescent="0.15">
      <c r="A5" s="446"/>
      <c r="B5" s="487"/>
      <c r="C5" s="460" t="str">
        <f>IF(C6="","",UPPER(LEFT(TEXT(C6,"jjjj"),1)))</f>
        <v>V</v>
      </c>
      <c r="D5" s="460" t="str">
        <f t="shared" ref="D5:BJ5" si="1">IF(D6="","",UPPER(LEFT(TEXT(D6,"jjjj"),1)))</f>
        <v>S</v>
      </c>
      <c r="E5" s="460" t="str">
        <f t="shared" si="1"/>
        <v>D</v>
      </c>
      <c r="F5" s="460" t="str">
        <f t="shared" si="1"/>
        <v>L</v>
      </c>
      <c r="G5" s="460" t="str">
        <f t="shared" si="1"/>
        <v>M</v>
      </c>
      <c r="H5" s="460" t="str">
        <f t="shared" si="1"/>
        <v>M</v>
      </c>
      <c r="I5" s="460" t="str">
        <f t="shared" si="1"/>
        <v>J</v>
      </c>
      <c r="J5" s="460" t="str">
        <f t="shared" si="1"/>
        <v>V</v>
      </c>
      <c r="K5" s="460" t="str">
        <f t="shared" si="1"/>
        <v>S</v>
      </c>
      <c r="L5" s="460" t="str">
        <f t="shared" si="1"/>
        <v>D</v>
      </c>
      <c r="M5" s="460" t="str">
        <f t="shared" si="1"/>
        <v>L</v>
      </c>
      <c r="N5" s="460" t="str">
        <f t="shared" si="1"/>
        <v>M</v>
      </c>
      <c r="O5" s="460" t="str">
        <f t="shared" si="1"/>
        <v>M</v>
      </c>
      <c r="P5" s="460" t="str">
        <f t="shared" si="1"/>
        <v>J</v>
      </c>
      <c r="Q5" s="460" t="str">
        <f t="shared" si="1"/>
        <v>V</v>
      </c>
      <c r="R5" s="460" t="str">
        <f t="shared" si="1"/>
        <v>S</v>
      </c>
      <c r="S5" s="460" t="str">
        <f t="shared" si="1"/>
        <v>D</v>
      </c>
      <c r="T5" s="460" t="str">
        <f t="shared" si="1"/>
        <v>L</v>
      </c>
      <c r="U5" s="460" t="str">
        <f t="shared" si="1"/>
        <v>M</v>
      </c>
      <c r="V5" s="460" t="str">
        <f t="shared" si="1"/>
        <v>M</v>
      </c>
      <c r="W5" s="460" t="str">
        <f t="shared" si="1"/>
        <v>J</v>
      </c>
      <c r="X5" s="460" t="str">
        <f t="shared" si="1"/>
        <v>V</v>
      </c>
      <c r="Y5" s="460" t="str">
        <f t="shared" si="1"/>
        <v>S</v>
      </c>
      <c r="Z5" s="460" t="str">
        <f t="shared" si="1"/>
        <v>D</v>
      </c>
      <c r="AA5" s="460" t="str">
        <f t="shared" si="1"/>
        <v>L</v>
      </c>
      <c r="AB5" s="460" t="str">
        <f t="shared" si="1"/>
        <v>M</v>
      </c>
      <c r="AC5" s="460" t="str">
        <f t="shared" si="1"/>
        <v>M</v>
      </c>
      <c r="AD5" s="460" t="str">
        <f t="shared" si="1"/>
        <v>J</v>
      </c>
      <c r="AE5" s="460" t="str">
        <f t="shared" si="1"/>
        <v>V</v>
      </c>
      <c r="AF5" s="460" t="str">
        <f t="shared" si="1"/>
        <v>S</v>
      </c>
      <c r="AG5" s="460" t="str">
        <f t="shared" si="1"/>
        <v>D</v>
      </c>
      <c r="AH5" s="460" t="str">
        <f t="shared" si="1"/>
        <v>L</v>
      </c>
      <c r="AI5" s="460" t="str">
        <f t="shared" si="1"/>
        <v>M</v>
      </c>
      <c r="AJ5" s="460" t="str">
        <f t="shared" si="1"/>
        <v>M</v>
      </c>
      <c r="AK5" s="460" t="str">
        <f t="shared" si="1"/>
        <v>J</v>
      </c>
      <c r="AL5" s="460" t="str">
        <f t="shared" si="1"/>
        <v>V</v>
      </c>
      <c r="AM5" s="460" t="str">
        <f t="shared" si="1"/>
        <v>S</v>
      </c>
      <c r="AN5" s="460" t="str">
        <f t="shared" si="1"/>
        <v>D</v>
      </c>
      <c r="AO5" s="460" t="str">
        <f t="shared" si="1"/>
        <v>L</v>
      </c>
      <c r="AP5" s="460" t="str">
        <f t="shared" si="1"/>
        <v>M</v>
      </c>
      <c r="AQ5" s="460" t="str">
        <f t="shared" si="1"/>
        <v>M</v>
      </c>
      <c r="AR5" s="460" t="str">
        <f t="shared" si="1"/>
        <v>J</v>
      </c>
      <c r="AS5" s="460" t="str">
        <f t="shared" si="1"/>
        <v>V</v>
      </c>
      <c r="AT5" s="460" t="str">
        <f t="shared" si="1"/>
        <v>S</v>
      </c>
      <c r="AU5" s="460" t="str">
        <f t="shared" si="1"/>
        <v>D</v>
      </c>
      <c r="AV5" s="460" t="str">
        <f t="shared" si="1"/>
        <v>L</v>
      </c>
      <c r="AW5" s="460" t="str">
        <f t="shared" si="1"/>
        <v>M</v>
      </c>
      <c r="AX5" s="460" t="str">
        <f t="shared" si="1"/>
        <v>M</v>
      </c>
      <c r="AY5" s="460" t="str">
        <f t="shared" si="1"/>
        <v>J</v>
      </c>
      <c r="AZ5" s="460" t="str">
        <f t="shared" si="1"/>
        <v>V</v>
      </c>
      <c r="BA5" s="460" t="str">
        <f t="shared" si="1"/>
        <v>S</v>
      </c>
      <c r="BB5" s="460" t="str">
        <f t="shared" si="1"/>
        <v>D</v>
      </c>
      <c r="BC5" s="460" t="str">
        <f t="shared" si="1"/>
        <v>L</v>
      </c>
      <c r="BD5" s="460" t="str">
        <f t="shared" si="1"/>
        <v>M</v>
      </c>
      <c r="BE5" s="460" t="str">
        <f t="shared" si="1"/>
        <v>M</v>
      </c>
      <c r="BF5" s="460" t="str">
        <f t="shared" si="1"/>
        <v>J</v>
      </c>
      <c r="BG5" s="460" t="str">
        <f t="shared" si="1"/>
        <v>V</v>
      </c>
      <c r="BH5" s="460" t="str">
        <f t="shared" si="1"/>
        <v>S</v>
      </c>
      <c r="BI5" s="460" t="str">
        <f t="shared" si="1"/>
        <v>D</v>
      </c>
      <c r="BJ5" s="460" t="str">
        <f t="shared" si="1"/>
        <v/>
      </c>
      <c r="BK5" s="460" t="str">
        <f t="shared" ref="BK5:BL5" si="2">IF(BK6="","",UPPER(LEFT(TEXT(BK6,"jjjj"),1)))</f>
        <v/>
      </c>
      <c r="BL5" s="433" t="str">
        <f t="shared" si="2"/>
        <v/>
      </c>
      <c r="BM5" s="451"/>
    </row>
    <row r="6" spans="1:65" s="426" customFormat="1" ht="39" customHeight="1" x14ac:dyDescent="0.15">
      <c r="A6" s="446"/>
      <c r="B6" s="488"/>
      <c r="C6" s="461">
        <f>DATE(Ref_Annee,Ref_Mois+B2,1)</f>
        <v>44197</v>
      </c>
      <c r="D6" s="461">
        <f t="shared" ref="D6:BI6" si="3">C6+1</f>
        <v>44198</v>
      </c>
      <c r="E6" s="461">
        <f t="shared" si="3"/>
        <v>44199</v>
      </c>
      <c r="F6" s="461">
        <f t="shared" si="3"/>
        <v>44200</v>
      </c>
      <c r="G6" s="461">
        <f t="shared" si="3"/>
        <v>44201</v>
      </c>
      <c r="H6" s="461">
        <f t="shared" si="3"/>
        <v>44202</v>
      </c>
      <c r="I6" s="461">
        <f t="shared" si="3"/>
        <v>44203</v>
      </c>
      <c r="J6" s="461">
        <f t="shared" si="3"/>
        <v>44204</v>
      </c>
      <c r="K6" s="461">
        <f t="shared" si="3"/>
        <v>44205</v>
      </c>
      <c r="L6" s="461">
        <f t="shared" si="3"/>
        <v>44206</v>
      </c>
      <c r="M6" s="461">
        <f t="shared" si="3"/>
        <v>44207</v>
      </c>
      <c r="N6" s="461">
        <f t="shared" si="3"/>
        <v>44208</v>
      </c>
      <c r="O6" s="461">
        <f t="shared" si="3"/>
        <v>44209</v>
      </c>
      <c r="P6" s="461">
        <f t="shared" si="3"/>
        <v>44210</v>
      </c>
      <c r="Q6" s="461">
        <f t="shared" si="3"/>
        <v>44211</v>
      </c>
      <c r="R6" s="461">
        <f t="shared" si="3"/>
        <v>44212</v>
      </c>
      <c r="S6" s="461">
        <f t="shared" si="3"/>
        <v>44213</v>
      </c>
      <c r="T6" s="461">
        <f t="shared" si="3"/>
        <v>44214</v>
      </c>
      <c r="U6" s="461">
        <f t="shared" si="3"/>
        <v>44215</v>
      </c>
      <c r="V6" s="461">
        <f t="shared" si="3"/>
        <v>44216</v>
      </c>
      <c r="W6" s="461">
        <f t="shared" si="3"/>
        <v>44217</v>
      </c>
      <c r="X6" s="461">
        <f t="shared" si="3"/>
        <v>44218</v>
      </c>
      <c r="Y6" s="461">
        <f t="shared" si="3"/>
        <v>44219</v>
      </c>
      <c r="Z6" s="461">
        <f t="shared" si="3"/>
        <v>44220</v>
      </c>
      <c r="AA6" s="461">
        <f t="shared" si="3"/>
        <v>44221</v>
      </c>
      <c r="AB6" s="461">
        <f t="shared" si="3"/>
        <v>44222</v>
      </c>
      <c r="AC6" s="461">
        <f t="shared" si="3"/>
        <v>44223</v>
      </c>
      <c r="AD6" s="461">
        <f t="shared" si="3"/>
        <v>44224</v>
      </c>
      <c r="AE6" s="461">
        <f t="shared" si="3"/>
        <v>44225</v>
      </c>
      <c r="AF6" s="461">
        <f t="shared" si="3"/>
        <v>44226</v>
      </c>
      <c r="AG6" s="461">
        <f t="shared" si="3"/>
        <v>44227</v>
      </c>
      <c r="AH6" s="461">
        <f t="shared" si="3"/>
        <v>44228</v>
      </c>
      <c r="AI6" s="461">
        <f t="shared" si="3"/>
        <v>44229</v>
      </c>
      <c r="AJ6" s="461">
        <f t="shared" si="3"/>
        <v>44230</v>
      </c>
      <c r="AK6" s="461">
        <f t="shared" si="3"/>
        <v>44231</v>
      </c>
      <c r="AL6" s="461">
        <f t="shared" si="3"/>
        <v>44232</v>
      </c>
      <c r="AM6" s="461">
        <f t="shared" si="3"/>
        <v>44233</v>
      </c>
      <c r="AN6" s="461">
        <f t="shared" si="3"/>
        <v>44234</v>
      </c>
      <c r="AO6" s="461">
        <f t="shared" si="3"/>
        <v>44235</v>
      </c>
      <c r="AP6" s="461">
        <f t="shared" si="3"/>
        <v>44236</v>
      </c>
      <c r="AQ6" s="461">
        <f t="shared" si="3"/>
        <v>44237</v>
      </c>
      <c r="AR6" s="461">
        <f t="shared" si="3"/>
        <v>44238</v>
      </c>
      <c r="AS6" s="461">
        <f t="shared" si="3"/>
        <v>44239</v>
      </c>
      <c r="AT6" s="461">
        <f t="shared" si="3"/>
        <v>44240</v>
      </c>
      <c r="AU6" s="461">
        <f t="shared" si="3"/>
        <v>44241</v>
      </c>
      <c r="AV6" s="461">
        <f t="shared" si="3"/>
        <v>44242</v>
      </c>
      <c r="AW6" s="461">
        <f t="shared" si="3"/>
        <v>44243</v>
      </c>
      <c r="AX6" s="461">
        <f t="shared" si="3"/>
        <v>44244</v>
      </c>
      <c r="AY6" s="461">
        <f t="shared" si="3"/>
        <v>44245</v>
      </c>
      <c r="AZ6" s="461">
        <f t="shared" si="3"/>
        <v>44246</v>
      </c>
      <c r="BA6" s="461">
        <f t="shared" si="3"/>
        <v>44247</v>
      </c>
      <c r="BB6" s="461">
        <f t="shared" si="3"/>
        <v>44248</v>
      </c>
      <c r="BC6" s="461">
        <f t="shared" si="3"/>
        <v>44249</v>
      </c>
      <c r="BD6" s="461">
        <f t="shared" si="3"/>
        <v>44250</v>
      </c>
      <c r="BE6" s="461">
        <f t="shared" si="3"/>
        <v>44251</v>
      </c>
      <c r="BF6" s="461">
        <f t="shared" si="3"/>
        <v>44252</v>
      </c>
      <c r="BG6" s="461">
        <f t="shared" si="3"/>
        <v>44253</v>
      </c>
      <c r="BH6" s="461">
        <f t="shared" si="3"/>
        <v>44254</v>
      </c>
      <c r="BI6" s="461">
        <f t="shared" si="3"/>
        <v>44255</v>
      </c>
      <c r="BJ6" s="461" t="str">
        <f>IF(BI6="","",IF(MONTH(BI6)&lt;&gt;MONTH(BI6+1),"",BI6+1))</f>
        <v/>
      </c>
      <c r="BK6" s="461" t="str">
        <f t="shared" ref="BK6:BL6" si="4">IF(BJ6="","",IF(MONTH(BJ6)&lt;&gt;MONTH(BJ6+1),"",BJ6+1))</f>
        <v/>
      </c>
      <c r="BL6" s="434" t="str">
        <f t="shared" si="4"/>
        <v/>
      </c>
      <c r="BM6" s="451"/>
    </row>
    <row r="7" spans="1:65" s="429" customFormat="1" ht="151" customHeight="1" x14ac:dyDescent="0.15">
      <c r="A7" s="447"/>
      <c r="B7" s="484"/>
      <c r="C7" s="469" t="str">
        <f t="shared" ref="C7:BJ7" si="5">IF(ISNA(VLOOKUP(C6,TAB_FERIES_PURS,3,FALSE)),"",VLOOKUP(C6,TAB_FERIES_PURS,3,FALSE))</f>
        <v>Jour de l’An</v>
      </c>
      <c r="D7" s="469" t="str">
        <f t="shared" si="5"/>
        <v/>
      </c>
      <c r="E7" s="469" t="str">
        <f t="shared" si="5"/>
        <v/>
      </c>
      <c r="F7" s="469" t="str">
        <f t="shared" si="5"/>
        <v/>
      </c>
      <c r="G7" s="469" t="str">
        <f t="shared" si="5"/>
        <v/>
      </c>
      <c r="H7" s="469" t="str">
        <f t="shared" si="5"/>
        <v/>
      </c>
      <c r="I7" s="469" t="str">
        <f t="shared" si="5"/>
        <v/>
      </c>
      <c r="J7" s="469" t="str">
        <f t="shared" si="5"/>
        <v/>
      </c>
      <c r="K7" s="469" t="str">
        <f t="shared" si="5"/>
        <v/>
      </c>
      <c r="L7" s="469" t="str">
        <f t="shared" si="5"/>
        <v/>
      </c>
      <c r="M7" s="469" t="str">
        <f t="shared" si="5"/>
        <v/>
      </c>
      <c r="N7" s="469" t="str">
        <f t="shared" si="5"/>
        <v/>
      </c>
      <c r="O7" s="469" t="str">
        <f t="shared" si="5"/>
        <v/>
      </c>
      <c r="P7" s="469" t="str">
        <f t="shared" si="5"/>
        <v/>
      </c>
      <c r="Q7" s="469" t="str">
        <f t="shared" si="5"/>
        <v/>
      </c>
      <c r="R7" s="469" t="str">
        <f t="shared" si="5"/>
        <v/>
      </c>
      <c r="S7" s="469" t="str">
        <f t="shared" si="5"/>
        <v/>
      </c>
      <c r="T7" s="469" t="str">
        <f t="shared" si="5"/>
        <v/>
      </c>
      <c r="U7" s="469" t="str">
        <f t="shared" si="5"/>
        <v/>
      </c>
      <c r="V7" s="469" t="str">
        <f t="shared" si="5"/>
        <v/>
      </c>
      <c r="W7" s="469" t="str">
        <f t="shared" si="5"/>
        <v/>
      </c>
      <c r="X7" s="469" t="str">
        <f t="shared" si="5"/>
        <v/>
      </c>
      <c r="Y7" s="469" t="str">
        <f t="shared" si="5"/>
        <v/>
      </c>
      <c r="Z7" s="469" t="str">
        <f t="shared" si="5"/>
        <v/>
      </c>
      <c r="AA7" s="469" t="str">
        <f t="shared" si="5"/>
        <v/>
      </c>
      <c r="AB7" s="469" t="str">
        <f t="shared" si="5"/>
        <v/>
      </c>
      <c r="AC7" s="469" t="str">
        <f t="shared" si="5"/>
        <v/>
      </c>
      <c r="AD7" s="469" t="str">
        <f t="shared" si="5"/>
        <v/>
      </c>
      <c r="AE7" s="469" t="str">
        <f t="shared" si="5"/>
        <v/>
      </c>
      <c r="AF7" s="469" t="str">
        <f t="shared" si="5"/>
        <v/>
      </c>
      <c r="AG7" s="469" t="str">
        <f t="shared" si="5"/>
        <v/>
      </c>
      <c r="AH7" s="469" t="str">
        <f t="shared" si="5"/>
        <v/>
      </c>
      <c r="AI7" s="469" t="str">
        <f t="shared" si="5"/>
        <v/>
      </c>
      <c r="AJ7" s="469" t="str">
        <f t="shared" si="5"/>
        <v/>
      </c>
      <c r="AK7" s="469" t="str">
        <f t="shared" si="5"/>
        <v/>
      </c>
      <c r="AL7" s="469" t="str">
        <f t="shared" si="5"/>
        <v/>
      </c>
      <c r="AM7" s="469" t="str">
        <f t="shared" si="5"/>
        <v/>
      </c>
      <c r="AN7" s="469" t="str">
        <f t="shared" si="5"/>
        <v/>
      </c>
      <c r="AO7" s="469" t="str">
        <f t="shared" si="5"/>
        <v/>
      </c>
      <c r="AP7" s="469" t="str">
        <f t="shared" si="5"/>
        <v/>
      </c>
      <c r="AQ7" s="469" t="str">
        <f t="shared" si="5"/>
        <v/>
      </c>
      <c r="AR7" s="469" t="str">
        <f t="shared" si="5"/>
        <v/>
      </c>
      <c r="AS7" s="469" t="str">
        <f t="shared" si="5"/>
        <v/>
      </c>
      <c r="AT7" s="469" t="str">
        <f t="shared" si="5"/>
        <v/>
      </c>
      <c r="AU7" s="469" t="str">
        <f t="shared" si="5"/>
        <v/>
      </c>
      <c r="AV7" s="469" t="str">
        <f t="shared" si="5"/>
        <v/>
      </c>
      <c r="AW7" s="469" t="str">
        <f t="shared" si="5"/>
        <v/>
      </c>
      <c r="AX7" s="469" t="str">
        <f t="shared" si="5"/>
        <v/>
      </c>
      <c r="AY7" s="469" t="str">
        <f t="shared" si="5"/>
        <v/>
      </c>
      <c r="AZ7" s="469" t="str">
        <f t="shared" si="5"/>
        <v/>
      </c>
      <c r="BA7" s="469" t="str">
        <f t="shared" si="5"/>
        <v/>
      </c>
      <c r="BB7" s="469" t="str">
        <f t="shared" si="5"/>
        <v/>
      </c>
      <c r="BC7" s="469" t="str">
        <f t="shared" si="5"/>
        <v/>
      </c>
      <c r="BD7" s="469" t="str">
        <f t="shared" si="5"/>
        <v/>
      </c>
      <c r="BE7" s="469" t="str">
        <f t="shared" si="5"/>
        <v/>
      </c>
      <c r="BF7" s="469" t="str">
        <f t="shared" si="5"/>
        <v/>
      </c>
      <c r="BG7" s="469" t="str">
        <f t="shared" si="5"/>
        <v/>
      </c>
      <c r="BH7" s="469" t="str">
        <f t="shared" si="5"/>
        <v/>
      </c>
      <c r="BI7" s="469" t="str">
        <f t="shared" si="5"/>
        <v/>
      </c>
      <c r="BJ7" s="469" t="str">
        <f t="shared" si="5"/>
        <v>Pâques, H Été (+1)</v>
      </c>
      <c r="BK7" s="469" t="str">
        <f>IF(BN6="","",IF(ISNA(VLOOKUP(BK6,TAB_FERIES_PURS,3,FALSE)),"",VLOOKUP(BK6,TAB_FERIES_PURS,3,FALSE)))</f>
        <v/>
      </c>
      <c r="BL7" s="469" t="str">
        <f>IF(BO6="","",IF(ISNA(VLOOKUP(BL6,TAB_FERIES_PURS,3,FALSE)),"",VLOOKUP(BL6,TAB_FERIES_PURS,3,FALSE)))</f>
        <v/>
      </c>
      <c r="BM7" s="452"/>
    </row>
    <row r="8" spans="1:65" s="429" customFormat="1" ht="50" customHeight="1" x14ac:dyDescent="0.15">
      <c r="A8" s="447"/>
      <c r="B8" s="467" t="str">
        <f>'Planning data'!$D$2</f>
        <v>G MNR Electricité</v>
      </c>
      <c r="C8" s="435" t="str">
        <f>IF(MOD(MATCH(C$6,'Planning data'!$D$3:$D$89,1),2)=0,"", " ")</f>
        <v/>
      </c>
      <c r="D8" s="435" t="str">
        <f>IF(MOD(MATCH(D$6,'Planning data'!$D$3:$D$89,1),2)=0,""," ")</f>
        <v/>
      </c>
      <c r="E8" s="435" t="str">
        <f>IF(MOD(MATCH(E$6,'Planning data'!$D$3:$D$89,1),2)=0,""," ")</f>
        <v/>
      </c>
      <c r="F8" s="435" t="str">
        <f>IF(MOD(MATCH(F$6,'Planning data'!$D$3:$D$89,1),2)=0,""," ")</f>
        <v/>
      </c>
      <c r="G8" s="435" t="str">
        <f>IF(MOD(MATCH(G$6,'Planning data'!$D$3:$D$89,1),2)=0,""," ")</f>
        <v/>
      </c>
      <c r="H8" s="435" t="str">
        <f>IF(MOD(MATCH(H$6,'Planning data'!$D$3:$D$89,1),2)=0,""," ")</f>
        <v/>
      </c>
      <c r="I8" s="435" t="str">
        <f>IF(MOD(MATCH(I$6,'Planning data'!$D$3:$D$89,1),2)=0,""," ")</f>
        <v/>
      </c>
      <c r="J8" s="435" t="str">
        <f>IF(MOD(MATCH(J$6,'Planning data'!$D$3:$D$89,1),2)=0,""," ")</f>
        <v/>
      </c>
      <c r="K8" s="435" t="str">
        <f>IF(MOD(MATCH(K$6,'Planning data'!$D$3:$D$89,1),2)=0,""," ")</f>
        <v/>
      </c>
      <c r="L8" s="435" t="str">
        <f>IF(MOD(MATCH(L$6,'Planning data'!$D$3:$D$89,1),2)=0,""," ")</f>
        <v/>
      </c>
      <c r="M8" s="435" t="str">
        <f>IF(MOD(MATCH(M$6,'Planning data'!$D$3:$D$89,1),2)=0,""," ")</f>
        <v/>
      </c>
      <c r="N8" s="435" t="str">
        <f>IF(MOD(MATCH(N$6,'Planning data'!$D$3:$D$89,1),2)=0,""," ")</f>
        <v/>
      </c>
      <c r="O8" s="435" t="str">
        <f>IF(MOD(MATCH(O$6,'Planning data'!$D$3:$D$89,1),2)=0,""," ")</f>
        <v/>
      </c>
      <c r="P8" s="435" t="str">
        <f>IF(MOD(MATCH(P$6,'Planning data'!$D$3:$D$89,1),2)=0,""," ")</f>
        <v/>
      </c>
      <c r="Q8" s="435" t="str">
        <f>IF(MOD(MATCH(Q$6,'Planning data'!$D$3:$D$89,1),2)=0,""," ")</f>
        <v/>
      </c>
      <c r="R8" s="435" t="str">
        <f>IF(MOD(MATCH(R$6,'Planning data'!$D$3:$D$89,1),2)=0,""," ")</f>
        <v/>
      </c>
      <c r="S8" s="435" t="str">
        <f>IF(MOD(MATCH(S$6,'Planning data'!$D$3:$D$89,1),2)=0,""," ")</f>
        <v/>
      </c>
      <c r="T8" s="435" t="str">
        <f>IF(MOD(MATCH(T$6,'Planning data'!$D$3:$D$89,1),2)=0,""," ")</f>
        <v/>
      </c>
      <c r="U8" s="435" t="str">
        <f>IF(MOD(MATCH(U$6,'Planning data'!$D$3:$D$89,1),2)=0,""," ")</f>
        <v/>
      </c>
      <c r="V8" s="435" t="str">
        <f>IF(MOD(MATCH(V$6,'Planning data'!$D$3:$D$89,1),2)=0,""," ")</f>
        <v/>
      </c>
      <c r="W8" s="435" t="str">
        <f>IF(MOD(MATCH(W$6,'Planning data'!$D$3:$D$89,1),2)=0,""," ")</f>
        <v/>
      </c>
      <c r="X8" s="435" t="str">
        <f>IF(MOD(MATCH(X$6,'Planning data'!$D$3:$D$89,1),2)=0,""," ")</f>
        <v/>
      </c>
      <c r="Y8" s="435" t="str">
        <f>IF(MOD(MATCH(Y$6,'Planning data'!$D$3:$D$89,1),2)=0,""," ")</f>
        <v/>
      </c>
      <c r="Z8" s="435" t="str">
        <f>IF(MOD(MATCH(Z$6,'Planning data'!$D$3:$D$89,1),2)=0,""," ")</f>
        <v/>
      </c>
      <c r="AA8" s="435" t="str">
        <f>IF(MOD(MATCH(AA$6,'Planning data'!$D$3:$D$89,1),2)=0,""," ")</f>
        <v/>
      </c>
      <c r="AB8" s="435" t="str">
        <f>IF(MOD(MATCH(AB$6,'Planning data'!$D$3:$D$89,1),2)=0,""," ")</f>
        <v/>
      </c>
      <c r="AC8" s="435" t="str">
        <f>IF(MOD(MATCH(AC$6,'Planning data'!$D$3:$D$89,1),2)=0,""," ")</f>
        <v/>
      </c>
      <c r="AD8" s="435" t="str">
        <f>IF(MOD(MATCH(AD$6,'Planning data'!$D$3:$D$89,1),2)=0,""," ")</f>
        <v/>
      </c>
      <c r="AE8" s="435" t="str">
        <f>IF(MOD(MATCH(AE$6,'Planning data'!$D$3:$D$89,1),2)=0,""," ")</f>
        <v/>
      </c>
      <c r="AF8" s="435" t="str">
        <f>IF(MOD(MATCH(AF$6,'Planning data'!$D$3:$D$89,1),2)=0,""," ")</f>
        <v/>
      </c>
      <c r="AG8" s="435" t="str">
        <f>IF(MOD(MATCH(AG$6,'Planning data'!$D$3:$D$89,1),2)=0,""," ")</f>
        <v/>
      </c>
      <c r="AH8" s="435" t="str">
        <f>IF(MOD(MATCH(AH$6,'Planning data'!$D$3:$D$89,1),2)=0,""," ")</f>
        <v/>
      </c>
      <c r="AI8" s="435" t="str">
        <f>IF(MOD(MATCH(AI$6,'Planning data'!$D$3:$D$89,1),2)=0,""," ")</f>
        <v/>
      </c>
      <c r="AJ8" s="435" t="str">
        <f>IF(MOD(MATCH(AJ$6,'Planning data'!$D$3:$D$89,1),2)=0,""," ")</f>
        <v/>
      </c>
      <c r="AK8" s="435" t="str">
        <f>IF(MOD(MATCH(AK$6,'Planning data'!$D$3:$D$89,1),2)=0,""," ")</f>
        <v/>
      </c>
      <c r="AL8" s="435" t="str">
        <f>IF(MOD(MATCH(AL$6,'Planning data'!$D$3:$D$89,1),2)=0,""," ")</f>
        <v/>
      </c>
      <c r="AM8" s="435" t="str">
        <f>IF(MOD(MATCH(AM$6,'Planning data'!$D$3:$D$89,1),2)=0,""," ")</f>
        <v/>
      </c>
      <c r="AN8" s="435" t="str">
        <f>IF(MOD(MATCH(AN$6,'Planning data'!$D$3:$D$89,1),2)=0,""," ")</f>
        <v/>
      </c>
      <c r="AO8" s="435" t="str">
        <f>IF(MOD(MATCH(AO$6,'Planning data'!$D$3:$D$89,1),2)=0,""," ")</f>
        <v/>
      </c>
      <c r="AP8" s="435" t="str">
        <f>IF(MOD(MATCH(AP$6,'Planning data'!$D$3:$D$89,1),2)=0,""," ")</f>
        <v/>
      </c>
      <c r="AQ8" s="435" t="str">
        <f>IF(MOD(MATCH(AQ$6,'Planning data'!$D$3:$D$89,1),2)=0,""," ")</f>
        <v/>
      </c>
      <c r="AR8" s="435" t="str">
        <f>IF(MOD(MATCH(AR$6,'Planning data'!$D$3:$D$89,1),2)=0,""," ")</f>
        <v/>
      </c>
      <c r="AS8" s="435" t="str">
        <f>IF(MOD(MATCH(AS$6,'Planning data'!$D$3:$D$89,1),2)=0,""," ")</f>
        <v/>
      </c>
      <c r="AT8" s="435" t="str">
        <f>IF(MOD(MATCH(AT$6,'Planning data'!$D$3:$D$89,1),2)=0,""," ")</f>
        <v/>
      </c>
      <c r="AU8" s="435" t="str">
        <f>IF(MOD(MATCH(AU$6,'Planning data'!$D$3:$D$89,1),2)=0,""," ")</f>
        <v/>
      </c>
      <c r="AV8" s="435" t="str">
        <f>IF(MOD(MATCH(AV$6,'Planning data'!$D$3:$D$89,1),2)=0,""," ")</f>
        <v/>
      </c>
      <c r="AW8" s="435" t="str">
        <f>IF(MOD(MATCH(AW$6,'Planning data'!$D$3:$D$89,1),2)=0,""," ")</f>
        <v/>
      </c>
      <c r="AX8" s="435" t="str">
        <f>IF(MOD(MATCH(AX$6,'Planning data'!$D$3:$D$89,1),2)=0,""," ")</f>
        <v/>
      </c>
      <c r="AY8" s="435" t="str">
        <f>IF(MOD(MATCH(AY$6,'Planning data'!$D$3:$D$89,1),2)=0,""," ")</f>
        <v/>
      </c>
      <c r="AZ8" s="435" t="str">
        <f>IF(MOD(MATCH(AZ$6,'Planning data'!$D$3:$D$89,1),2)=0,""," ")</f>
        <v/>
      </c>
      <c r="BA8" s="435" t="str">
        <f>IF(MOD(MATCH(BA$6,'Planning data'!$D$3:$D$89,1),2)=0,""," ")</f>
        <v/>
      </c>
      <c r="BB8" s="435" t="str">
        <f>IF(MOD(MATCH(BB$6,'Planning data'!$D$3:$D$89,1),2)=0,""," ")</f>
        <v/>
      </c>
      <c r="BC8" s="435" t="str">
        <f>IF(MOD(MATCH(BC$6,'Planning data'!$D$3:$D$89,1),2)=0,""," ")</f>
        <v/>
      </c>
      <c r="BD8" s="435" t="str">
        <f>IF(MOD(MATCH(BD$6,'Planning data'!$D$3:$D$89,1),2)=0,""," ")</f>
        <v/>
      </c>
      <c r="BE8" s="435" t="str">
        <f>IF(MOD(MATCH(BE$6,'Planning data'!$D$3:$D$89,1),2)=0,""," ")</f>
        <v/>
      </c>
      <c r="BF8" s="435" t="str">
        <f>IF(MOD(MATCH(BF$6,'Planning data'!$D$3:$D$89,1),2)=0,""," ")</f>
        <v/>
      </c>
      <c r="BG8" s="435" t="str">
        <f>IF(MOD(MATCH(BG$6,'Planning data'!$D$3:$D$89,1),2)=0,""," ")</f>
        <v/>
      </c>
      <c r="BH8" s="435" t="str">
        <f>IF(MOD(MATCH(BH$6,'Planning data'!$D$3:$D$89,1),2)=0,""," ")</f>
        <v/>
      </c>
      <c r="BI8" s="435" t="str">
        <f>IF(MOD(MATCH(BI$6,'Planning data'!$D$3:$D$89,1),2)=0,""," ")</f>
        <v/>
      </c>
      <c r="BJ8" s="435" t="e">
        <f>IF(MOD(MATCH(BJ$6,'Planning data'!$D$3:$D$89,1),2)=0,""," ")</f>
        <v>#N/A</v>
      </c>
      <c r="BK8" s="435" t="e">
        <f>IF(MOD(MATCH(BK$6,'Planning data'!$D$3:$D$89,1),2)=0,""," ")</f>
        <v>#N/A</v>
      </c>
      <c r="BL8" s="435" t="e">
        <f>IF(MOD(MATCH(BL$6,'Planning data'!$D$3:$D$89,1),2)=0,""," ")</f>
        <v>#N/A</v>
      </c>
      <c r="BM8" s="452"/>
    </row>
    <row r="9" spans="1:65" s="425" customFormat="1" ht="50" customHeight="1" x14ac:dyDescent="0.15">
      <c r="A9" s="448"/>
      <c r="B9" s="467" t="str">
        <f>'Planning data'!$E$2</f>
        <v>F JVNL Plâtrerie</v>
      </c>
      <c r="C9" s="435" t="str">
        <f>IF(MOD(MATCH(C$6,'Planning data'!$E$3:$E$89,1),2)=0,""," ")</f>
        <v/>
      </c>
      <c r="D9" s="435" t="str">
        <f>IF(MOD(MATCH(D$6,'Planning data'!$E$3:$E$89,1),2)=0,""," ")</f>
        <v/>
      </c>
      <c r="E9" s="435" t="str">
        <f>IF(MOD(MATCH(E$6,'Planning data'!$E$3:$E$89,1),2)=0,""," ")</f>
        <v/>
      </c>
      <c r="F9" s="435" t="str">
        <f>IF(MOD(MATCH(F$6,'Planning data'!$E$3:$E$89,1),2)=0,""," ")</f>
        <v/>
      </c>
      <c r="G9" s="435" t="str">
        <f>IF(MOD(MATCH(G$6,'Planning data'!$E$3:$E$89,1),2)=0,""," ")</f>
        <v/>
      </c>
      <c r="H9" s="435" t="str">
        <f>IF(MOD(MATCH(H$6,'Planning data'!$E$3:$E$89,1),2)=0,""," ")</f>
        <v/>
      </c>
      <c r="I9" s="435" t="str">
        <f>IF(MOD(MATCH(I$6,'Planning data'!$E$3:$E$89,1),2)=0,""," ")</f>
        <v/>
      </c>
      <c r="J9" s="435" t="str">
        <f>IF(MOD(MATCH(J$6,'Planning data'!$E$3:$E$89,1),2)=0,""," ")</f>
        <v/>
      </c>
      <c r="K9" s="435" t="str">
        <f>IF(MOD(MATCH(K$6,'Planning data'!$E$3:$E$89,1),2)=0,""," ")</f>
        <v/>
      </c>
      <c r="L9" s="435" t="str">
        <f>IF(MOD(MATCH(L$6,'Planning data'!$E$3:$E$89,1),2)=0,""," ")</f>
        <v/>
      </c>
      <c r="M9" s="435" t="str">
        <f>IF(MOD(MATCH(M$6,'Planning data'!$E$3:$E$89,1),2)=0,""," ")</f>
        <v/>
      </c>
      <c r="N9" s="435" t="str">
        <f>IF(MOD(MATCH(N$6,'Planning data'!$E$3:$E$89,1),2)=0,""," ")</f>
        <v/>
      </c>
      <c r="O9" s="435" t="str">
        <f>IF(MOD(MATCH(O$6,'Planning data'!$E$3:$E$89,1),2)=0,""," ")</f>
        <v/>
      </c>
      <c r="P9" s="435" t="str">
        <f>IF(MOD(MATCH(P$6,'Planning data'!$E$3:$E$89,1),2)=0,""," ")</f>
        <v/>
      </c>
      <c r="Q9" s="435" t="str">
        <f>IF(MOD(MATCH(Q$6,'Planning data'!$E$3:$E$89,1),2)=0,""," ")</f>
        <v/>
      </c>
      <c r="R9" s="435" t="str">
        <f>IF(MOD(MATCH(R$6,'Planning data'!$E$3:$E$89,1),2)=0,""," ")</f>
        <v/>
      </c>
      <c r="S9" s="435" t="str">
        <f>IF(MOD(MATCH(S$6,'Planning data'!$E$3:$E$89,1),2)=0,""," ")</f>
        <v/>
      </c>
      <c r="T9" s="435" t="str">
        <f>IF(MOD(MATCH(T$6,'Planning data'!$E$3:$E$89,1),2)=0,""," ")</f>
        <v/>
      </c>
      <c r="U9" s="435" t="str">
        <f>IF(MOD(MATCH(U$6,'Planning data'!$E$3:$E$89,1),2)=0,""," ")</f>
        <v/>
      </c>
      <c r="V9" s="435" t="str">
        <f>IF(MOD(MATCH(V$6,'Planning data'!$E$3:$E$89,1),2)=0,""," ")</f>
        <v/>
      </c>
      <c r="W9" s="435" t="str">
        <f>IF(MOD(MATCH(W$6,'Planning data'!$E$3:$E$89,1),2)=0,""," ")</f>
        <v/>
      </c>
      <c r="X9" s="435" t="str">
        <f>IF(MOD(MATCH(X$6,'Planning data'!$E$3:$E$89,1),2)=0,""," ")</f>
        <v/>
      </c>
      <c r="Y9" s="435" t="str">
        <f>IF(MOD(MATCH(Y$6,'Planning data'!$E$3:$E$89,1),2)=0,""," ")</f>
        <v/>
      </c>
      <c r="Z9" s="435" t="str">
        <f>IF(MOD(MATCH(Z$6,'Planning data'!$E$3:$E$89,1),2)=0,""," ")</f>
        <v/>
      </c>
      <c r="AA9" s="435" t="str">
        <f>IF(MOD(MATCH(AA$6,'Planning data'!$E$3:$E$89,1),2)=0,""," ")</f>
        <v/>
      </c>
      <c r="AB9" s="435" t="str">
        <f>IF(MOD(MATCH(AB$6,'Planning data'!$E$3:$E$89,1),2)=0,""," ")</f>
        <v/>
      </c>
      <c r="AC9" s="435" t="str">
        <f>IF(MOD(MATCH(AC$6,'Planning data'!$E$3:$E$89,1),2)=0,""," ")</f>
        <v/>
      </c>
      <c r="AD9" s="435" t="str">
        <f>IF(MOD(MATCH(AD$6,'Planning data'!$E$3:$E$89,1),2)=0,""," ")</f>
        <v/>
      </c>
      <c r="AE9" s="435" t="str">
        <f>IF(MOD(MATCH(AE$6,'Planning data'!$E$3:$E$89,1),2)=0,""," ")</f>
        <v/>
      </c>
      <c r="AF9" s="435" t="str">
        <f>IF(MOD(MATCH(AF$6,'Planning data'!$E$3:$E$89,1),2)=0,""," ")</f>
        <v/>
      </c>
      <c r="AG9" s="435" t="str">
        <f>IF(MOD(MATCH(AG$6,'Planning data'!$E$3:$E$89,1),2)=0,""," ")</f>
        <v/>
      </c>
      <c r="AH9" s="435" t="str">
        <f>IF(MOD(MATCH(AH$6,'Planning data'!$E$3:$E$89,1),2)=0,""," ")</f>
        <v/>
      </c>
      <c r="AI9" s="435" t="str">
        <f>IF(MOD(MATCH(AI$6,'Planning data'!$E$3:$E$89,1),2)=0,""," ")</f>
        <v/>
      </c>
      <c r="AJ9" s="435" t="str">
        <f>IF(MOD(MATCH(AJ$6,'Planning data'!$E$3:$E$89,1),2)=0,""," ")</f>
        <v/>
      </c>
      <c r="AK9" s="435" t="str">
        <f>IF(MOD(MATCH(AK$6,'Planning data'!$E$3:$E$89,1),2)=0,""," ")</f>
        <v/>
      </c>
      <c r="AL9" s="435" t="str">
        <f>IF(MOD(MATCH(AL$6,'Planning data'!$E$3:$E$89,1),2)=0,""," ")</f>
        <v/>
      </c>
      <c r="AM9" s="435" t="str">
        <f>IF(MOD(MATCH(AM$6,'Planning data'!$E$3:$E$89,1),2)=0,""," ")</f>
        <v/>
      </c>
      <c r="AN9" s="435" t="str">
        <f>IF(MOD(MATCH(AN$6,'Planning data'!$E$3:$E$89,1),2)=0,""," ")</f>
        <v/>
      </c>
      <c r="AO9" s="435" t="str">
        <f>IF(MOD(MATCH(AO$6,'Planning data'!$E$3:$E$89,1),2)=0,""," ")</f>
        <v/>
      </c>
      <c r="AP9" s="435" t="str">
        <f>IF(MOD(MATCH(AP$6,'Planning data'!$E$3:$E$89,1),2)=0,""," ")</f>
        <v/>
      </c>
      <c r="AQ9" s="435" t="str">
        <f>IF(MOD(MATCH(AQ$6,'Planning data'!$E$3:$E$89,1),2)=0,""," ")</f>
        <v/>
      </c>
      <c r="AR9" s="435" t="str">
        <f>IF(MOD(MATCH(AR$6,'Planning data'!$E$3:$E$89,1),2)=0,""," ")</f>
        <v/>
      </c>
      <c r="AS9" s="435" t="str">
        <f>IF(MOD(MATCH(AS$6,'Planning data'!$E$3:$E$89,1),2)=0,""," ")</f>
        <v/>
      </c>
      <c r="AT9" s="435" t="str">
        <f>IF(MOD(MATCH(AT$6,'Planning data'!$E$3:$E$89,1),2)=0,""," ")</f>
        <v/>
      </c>
      <c r="AU9" s="435" t="str">
        <f>IF(MOD(MATCH(AU$6,'Planning data'!$E$3:$E$89,1),2)=0,""," ")</f>
        <v/>
      </c>
      <c r="AV9" s="435" t="str">
        <f>IF(MOD(MATCH(AV$6,'Planning data'!$E$3:$E$89,1),2)=0,""," ")</f>
        <v/>
      </c>
      <c r="AW9" s="435" t="str">
        <f>IF(MOD(MATCH(AW$6,'Planning data'!$E$3:$E$89,1),2)=0,""," ")</f>
        <v/>
      </c>
      <c r="AX9" s="435" t="str">
        <f>IF(MOD(MATCH(AX$6,'Planning data'!$E$3:$E$89,1),2)=0,""," ")</f>
        <v/>
      </c>
      <c r="AY9" s="435" t="str">
        <f>IF(MOD(MATCH(AY$6,'Planning data'!$E$3:$E$89,1),2)=0,""," ")</f>
        <v/>
      </c>
      <c r="AZ9" s="435" t="str">
        <f>IF(MOD(MATCH(AZ$6,'Planning data'!$E$3:$E$89,1),2)=0,""," ")</f>
        <v/>
      </c>
      <c r="BA9" s="435" t="str">
        <f>IF(MOD(MATCH(BA$6,'Planning data'!$E$3:$E$89,1),2)=0,""," ")</f>
        <v/>
      </c>
      <c r="BB9" s="435" t="str">
        <f>IF(MOD(MATCH(BB$6,'Planning data'!$E$3:$E$89,1),2)=0,""," ")</f>
        <v/>
      </c>
      <c r="BC9" s="435" t="str">
        <f>IF(MOD(MATCH(BC$6,'Planning data'!$E$3:$E$89,1),2)=0,""," ")</f>
        <v/>
      </c>
      <c r="BD9" s="435" t="str">
        <f>IF(MOD(MATCH(BD$6,'Planning data'!$E$3:$E$89,1),2)=0,""," ")</f>
        <v/>
      </c>
      <c r="BE9" s="435" t="str">
        <f>IF(MOD(MATCH(BE$6,'Planning data'!$E$3:$E$89,1),2)=0,""," ")</f>
        <v/>
      </c>
      <c r="BF9" s="435" t="str">
        <f>IF(MOD(MATCH(BF$6,'Planning data'!$E$3:$E$89,1),2)=0,""," ")</f>
        <v/>
      </c>
      <c r="BG9" s="435" t="str">
        <f>IF(MOD(MATCH(BG$6,'Planning data'!$E$3:$E$89,1),2)=0,""," ")</f>
        <v/>
      </c>
      <c r="BH9" s="435" t="str">
        <f>IF(MOD(MATCH(BH$6,'Planning data'!$E$3:$E$89,1),2)=0,""," ")</f>
        <v/>
      </c>
      <c r="BI9" s="435" t="str">
        <f>IF(MOD(MATCH(BI$6,'Planning data'!$E$3:$E$89,1),2)=0,""," ")</f>
        <v/>
      </c>
      <c r="BJ9" s="435" t="e">
        <f>IF(MOD(MATCH(BJ$6,'Planning data'!$E$3:$E$89,1),2)=0,""," ")</f>
        <v>#N/A</v>
      </c>
      <c r="BK9" s="435" t="e">
        <f>IF(MOD(MATCH(BK$6,'Planning data'!$E$3:$E$89,1),2)=0,""," ")</f>
        <v>#N/A</v>
      </c>
      <c r="BL9" s="435" t="e">
        <f>IF(MOD(MATCH(BL$6,'Planning data'!$E$3:$E$89,1),2)=0,""," ")</f>
        <v>#N/A</v>
      </c>
      <c r="BM9" s="453"/>
    </row>
    <row r="10" spans="1:65" s="425" customFormat="1" ht="50" customHeight="1" x14ac:dyDescent="0.15">
      <c r="A10" s="448"/>
      <c r="B10" s="467" t="str">
        <f>'Planning data'!$F$2</f>
        <v>TCT</v>
      </c>
      <c r="C10" s="435" t="str">
        <f>IF(MOD(MATCH(C$6,'Planning data'!$F$3:$F$89,1),2)=0,""," ")</f>
        <v/>
      </c>
      <c r="D10" s="435" t="str">
        <f>IF(MOD(MATCH(D$6,'Planning data'!$F$3:$F$89,1),2)=0,""," ")</f>
        <v/>
      </c>
      <c r="E10" s="435" t="str">
        <f>IF(MOD(MATCH(E$6,'Planning data'!$F$3:$F$89,1),2)=0,""," ")</f>
        <v/>
      </c>
      <c r="F10" s="435" t="str">
        <f>IF(MOD(MATCH(F$6,'Planning data'!$F$3:$F$89,1),2)=0,""," ")</f>
        <v/>
      </c>
      <c r="G10" s="435" t="str">
        <f>IF(MOD(MATCH(G$6,'Planning data'!$F$3:$F$89,1),2)=0,""," ")</f>
        <v/>
      </c>
      <c r="H10" s="435" t="str">
        <f>IF(MOD(MATCH(H$6,'Planning data'!$F$3:$F$89,1),2)=0,""," ")</f>
        <v/>
      </c>
      <c r="I10" s="435" t="str">
        <f>IF(MOD(MATCH(I$6,'Planning data'!$F$3:$F$89,1),2)=0,""," ")</f>
        <v/>
      </c>
      <c r="J10" s="435" t="str">
        <f>IF(MOD(MATCH(J$6,'Planning data'!$F$3:$F$89,1),2)=0,""," ")</f>
        <v/>
      </c>
      <c r="K10" s="435" t="str">
        <f>IF(MOD(MATCH(K$6,'Planning data'!$F$3:$F$89,1),2)=0,""," ")</f>
        <v/>
      </c>
      <c r="L10" s="435" t="str">
        <f>IF(MOD(MATCH(L$6,'Planning data'!$F$3:$F$89,1),2)=0,""," ")</f>
        <v/>
      </c>
      <c r="M10" s="435" t="str">
        <f>IF(MOD(MATCH(M$6,'Planning data'!$F$3:$F$89,1),2)=0,""," ")</f>
        <v/>
      </c>
      <c r="N10" s="435" t="str">
        <f>IF(MOD(MATCH(N$6,'Planning data'!$F$3:$F$89,1),2)=0,""," ")</f>
        <v/>
      </c>
      <c r="O10" s="435" t="str">
        <f>IF(MOD(MATCH(O$6,'Planning data'!$F$3:$F$89,1),2)=0,""," ")</f>
        <v/>
      </c>
      <c r="P10" s="435" t="str">
        <f>IF(MOD(MATCH(P$6,'Planning data'!$F$3:$F$89,1),2)=0,""," ")</f>
        <v/>
      </c>
      <c r="Q10" s="435" t="str">
        <f>IF(MOD(MATCH(Q$6,'Planning data'!$F$3:$F$89,1),2)=0,""," ")</f>
        <v/>
      </c>
      <c r="R10" s="435" t="str">
        <f>IF(MOD(MATCH(R$6,'Planning data'!$F$3:$F$89,1),2)=0,""," ")</f>
        <v/>
      </c>
      <c r="S10" s="435" t="str">
        <f>IF(MOD(MATCH(S$6,'Planning data'!$F$3:$F$89,1),2)=0,""," ")</f>
        <v/>
      </c>
      <c r="T10" s="435" t="str">
        <f>IF(MOD(MATCH(T$6,'Planning data'!$F$3:$F$89,1),2)=0,""," ")</f>
        <v/>
      </c>
      <c r="U10" s="435" t="str">
        <f>IF(MOD(MATCH(U$6,'Planning data'!$F$3:$F$89,1),2)=0,""," ")</f>
        <v/>
      </c>
      <c r="V10" s="435" t="str">
        <f>IF(MOD(MATCH(V$6,'Planning data'!$F$3:$F$89,1),2)=0,""," ")</f>
        <v/>
      </c>
      <c r="W10" s="435" t="str">
        <f>IF(MOD(MATCH(W$6,'Planning data'!$F$3:$F$89,1),2)=0,""," ")</f>
        <v/>
      </c>
      <c r="X10" s="435" t="str">
        <f>IF(MOD(MATCH(X$6,'Planning data'!$F$3:$F$89,1),2)=0,""," ")</f>
        <v/>
      </c>
      <c r="Y10" s="435" t="str">
        <f>IF(MOD(MATCH(Y$6,'Planning data'!$F$3:$F$89,1),2)=0,""," ")</f>
        <v/>
      </c>
      <c r="Z10" s="435" t="str">
        <f>IF(MOD(MATCH(Z$6,'Planning data'!$F$3:$F$89,1),2)=0,""," ")</f>
        <v/>
      </c>
      <c r="AA10" s="435" t="str">
        <f>IF(MOD(MATCH(AA$6,'Planning data'!$F$3:$F$89,1),2)=0,""," ")</f>
        <v/>
      </c>
      <c r="AB10" s="435" t="str">
        <f>IF(MOD(MATCH(AB$6,'Planning data'!$F$3:$F$89,1),2)=0,""," ")</f>
        <v/>
      </c>
      <c r="AC10" s="435" t="str">
        <f>IF(MOD(MATCH(AC$6,'Planning data'!$F$3:$F$89,1),2)=0,""," ")</f>
        <v/>
      </c>
      <c r="AD10" s="435" t="str">
        <f>IF(MOD(MATCH(AD$6,'Planning data'!$F$3:$F$89,1),2)=0,""," ")</f>
        <v/>
      </c>
      <c r="AE10" s="435" t="str">
        <f>IF(MOD(MATCH(AE$6,'Planning data'!$F$3:$F$89,1),2)=0,""," ")</f>
        <v/>
      </c>
      <c r="AF10" s="435" t="str">
        <f>IF(MOD(MATCH(AF$6,'Planning data'!$F$3:$F$89,1),2)=0,""," ")</f>
        <v/>
      </c>
      <c r="AG10" s="435" t="str">
        <f>IF(MOD(MATCH(AG$6,'Planning data'!$F$3:$F$89,1),2)=0,""," ")</f>
        <v/>
      </c>
      <c r="AH10" s="435" t="str">
        <f>IF(MOD(MATCH(AH$6,'Planning data'!$F$3:$F$89,1),2)=0,""," ")</f>
        <v/>
      </c>
      <c r="AI10" s="435" t="str">
        <f>IF(MOD(MATCH(AI$6,'Planning data'!$F$3:$F$89,1),2)=0,""," ")</f>
        <v/>
      </c>
      <c r="AJ10" s="435" t="str">
        <f>IF(MOD(MATCH(AJ$6,'Planning data'!$F$3:$F$89,1),2)=0,""," ")</f>
        <v/>
      </c>
      <c r="AK10" s="435" t="str">
        <f>IF(MOD(MATCH(AK$6,'Planning data'!$F$3:$F$89,1),2)=0,""," ")</f>
        <v/>
      </c>
      <c r="AL10" s="435" t="str">
        <f>IF(MOD(MATCH(AL$6,'Planning data'!$F$3:$F$89,1),2)=0,""," ")</f>
        <v/>
      </c>
      <c r="AM10" s="435" t="str">
        <f>IF(MOD(MATCH(AM$6,'Planning data'!$F$3:$F$89,1),2)=0,""," ")</f>
        <v/>
      </c>
      <c r="AN10" s="435" t="str">
        <f>IF(MOD(MATCH(AN$6,'Planning data'!$F$3:$F$89,1),2)=0,""," ")</f>
        <v/>
      </c>
      <c r="AO10" s="435" t="str">
        <f>IF(MOD(MATCH(AO$6,'Planning data'!$F$3:$F$89,1),2)=0,""," ")</f>
        <v/>
      </c>
      <c r="AP10" s="435" t="str">
        <f>IF(MOD(MATCH(AP$6,'Planning data'!$F$3:$F$89,1),2)=0,""," ")</f>
        <v/>
      </c>
      <c r="AQ10" s="435" t="str">
        <f>IF(MOD(MATCH(AQ$6,'Planning data'!$F$3:$F$89,1),2)=0,""," ")</f>
        <v/>
      </c>
      <c r="AR10" s="435" t="str">
        <f>IF(MOD(MATCH(AR$6,'Planning data'!$F$3:$F$89,1),2)=0,""," ")</f>
        <v/>
      </c>
      <c r="AS10" s="435" t="str">
        <f>IF(MOD(MATCH(AS$6,'Planning data'!$F$3:$F$89,1),2)=0,""," ")</f>
        <v/>
      </c>
      <c r="AT10" s="435" t="str">
        <f>IF(MOD(MATCH(AT$6,'Planning data'!$F$3:$F$89,1),2)=0,""," ")</f>
        <v/>
      </c>
      <c r="AU10" s="435" t="str">
        <f>IF(MOD(MATCH(AU$6,'Planning data'!$F$3:$F$89,1),2)=0,""," ")</f>
        <v/>
      </c>
      <c r="AV10" s="435" t="str">
        <f>IF(MOD(MATCH(AV$6,'Planning data'!$F$3:$F$89,1),2)=0,""," ")</f>
        <v/>
      </c>
      <c r="AW10" s="435" t="str">
        <f>IF(MOD(MATCH(AW$6,'Planning data'!$F$3:$F$89,1),2)=0,""," ")</f>
        <v/>
      </c>
      <c r="AX10" s="435" t="str">
        <f>IF(MOD(MATCH(AX$6,'Planning data'!$F$3:$F$89,1),2)=0,""," ")</f>
        <v/>
      </c>
      <c r="AY10" s="435" t="str">
        <f>IF(MOD(MATCH(AY$6,'Planning data'!$F$3:$F$89,1),2)=0,""," ")</f>
        <v/>
      </c>
      <c r="AZ10" s="435" t="str">
        <f>IF(MOD(MATCH(AZ$6,'Planning data'!$F$3:$F$89,1),2)=0,""," ")</f>
        <v/>
      </c>
      <c r="BA10" s="435" t="str">
        <f>IF(MOD(MATCH(BA$6,'Planning data'!$F$3:$F$89,1),2)=0,""," ")</f>
        <v/>
      </c>
      <c r="BB10" s="435" t="str">
        <f>IF(MOD(MATCH(BB$6,'Planning data'!$F$3:$F$89,1),2)=0,""," ")</f>
        <v/>
      </c>
      <c r="BC10" s="435" t="str">
        <f>IF(MOD(MATCH(BC$6,'Planning data'!$F$3:$F$89,1),2)=0,""," ")</f>
        <v/>
      </c>
      <c r="BD10" s="435" t="str">
        <f>IF(MOD(MATCH(BD$6,'Planning data'!$F$3:$F$89,1),2)=0,""," ")</f>
        <v/>
      </c>
      <c r="BE10" s="435" t="str">
        <f>IF(MOD(MATCH(BE$6,'Planning data'!$F$3:$F$89,1),2)=0,""," ")</f>
        <v/>
      </c>
      <c r="BF10" s="435" t="str">
        <f>IF(MOD(MATCH(BF$6,'Planning data'!$F$3:$F$89,1),2)=0,""," ")</f>
        <v/>
      </c>
      <c r="BG10" s="435" t="str">
        <f>IF(MOD(MATCH(BG$6,'Planning data'!$F$3:$F$89,1),2)=0,""," ")</f>
        <v/>
      </c>
      <c r="BH10" s="435" t="str">
        <f>IF(MOD(MATCH(BH$6,'Planning data'!$F$3:$F$89,1),2)=0,""," ")</f>
        <v/>
      </c>
      <c r="BI10" s="435" t="str">
        <f>IF(MOD(MATCH(BI$6,'Planning data'!$F$3:$F$89,1),2)=0,""," ")</f>
        <v/>
      </c>
      <c r="BJ10" s="435" t="e">
        <f>IF(MOD(MATCH(BJ$6,'Planning data'!$F$3:$F$89,1),2)=0,""," ")</f>
        <v>#N/A</v>
      </c>
      <c r="BK10" s="435" t="e">
        <f>IF(MOD(MATCH(BK$6,'Planning data'!$F$3:$F$89,1),2)=0,""," ")</f>
        <v>#N/A</v>
      </c>
      <c r="BL10" s="435" t="e">
        <f>IF(MOD(MATCH(BL$6,'Planning data'!$F$3:$F$89,1),2)=0,""," ")</f>
        <v>#N/A</v>
      </c>
      <c r="BM10" s="453"/>
    </row>
    <row r="11" spans="1:65" s="425" customFormat="1" ht="50" customHeight="1" x14ac:dyDescent="0.15">
      <c r="A11" s="448"/>
      <c r="B11" s="467" t="str">
        <f>'Planning data'!G2</f>
        <v>A &amp; F</v>
      </c>
      <c r="C11" s="435" t="str">
        <f>IF(MOD(MATCH(C$6,'Planning data'!$G$3:$G$89,1),2)=0,""," ")</f>
        <v/>
      </c>
      <c r="D11" s="435" t="str">
        <f>IF(MOD(MATCH(D$6,'Planning data'!$G$3:$G$89,1),2)=0,""," ")</f>
        <v/>
      </c>
      <c r="E11" s="435" t="str">
        <f>IF(MOD(MATCH(E$6,'Planning data'!$G$3:$G$89,1),2)=0,""," ")</f>
        <v/>
      </c>
      <c r="F11" s="435" t="str">
        <f>IF(MOD(MATCH(F$6,'Planning data'!$G$3:$G$89,1),2)=0,""," ")</f>
        <v/>
      </c>
      <c r="G11" s="435" t="str">
        <f>IF(MOD(MATCH(G$6,'Planning data'!$G$3:$G$89,1),2)=0,""," ")</f>
        <v/>
      </c>
      <c r="H11" s="435" t="str">
        <f>IF(MOD(MATCH(H$6,'Planning data'!$G$3:$G$89,1),2)=0,""," ")</f>
        <v/>
      </c>
      <c r="I11" s="435" t="str">
        <f>IF(MOD(MATCH(I$6,'Planning data'!$G$3:$G$89,1),2)=0,""," ")</f>
        <v/>
      </c>
      <c r="J11" s="435" t="str">
        <f>IF(MOD(MATCH(J$6,'Planning data'!$G$3:$G$89,1),2)=0,""," ")</f>
        <v/>
      </c>
      <c r="K11" s="435" t="str">
        <f>IF(MOD(MATCH(K$6,'Planning data'!$G$3:$G$89,1),2)=0,""," ")</f>
        <v/>
      </c>
      <c r="L11" s="435" t="str">
        <f>IF(MOD(MATCH(L$6,'Planning data'!$G$3:$G$89,1),2)=0,""," ")</f>
        <v/>
      </c>
      <c r="M11" s="435" t="str">
        <f>IF(MOD(MATCH(M$6,'Planning data'!$G$3:$G$89,1),2)=0,""," ")</f>
        <v/>
      </c>
      <c r="N11" s="435" t="str">
        <f>IF(MOD(MATCH(N$6,'Planning data'!$G$3:$G$89,1),2)=0,""," ")</f>
        <v/>
      </c>
      <c r="O11" s="435" t="str">
        <f>IF(MOD(MATCH(O$6,'Planning data'!$G$3:$G$89,1),2)=0,""," ")</f>
        <v/>
      </c>
      <c r="P11" s="435" t="str">
        <f>IF(MOD(MATCH(P$6,'Planning data'!$G$3:$G$89,1),2)=0,""," ")</f>
        <v/>
      </c>
      <c r="Q11" s="435" t="str">
        <f>IF(MOD(MATCH(Q$6,'Planning data'!$G$3:$G$89,1),2)=0,""," ")</f>
        <v/>
      </c>
      <c r="R11" s="435" t="str">
        <f>IF(MOD(MATCH(R$6,'Planning data'!$G$3:$G$89,1),2)=0,""," ")</f>
        <v/>
      </c>
      <c r="S11" s="435" t="str">
        <f>IF(MOD(MATCH(S$6,'Planning data'!$G$3:$G$89,1),2)=0,""," ")</f>
        <v/>
      </c>
      <c r="T11" s="435" t="str">
        <f>IF(MOD(MATCH(T$6,'Planning data'!$G$3:$G$89,1),2)=0,""," ")</f>
        <v/>
      </c>
      <c r="U11" s="435" t="str">
        <f>IF(MOD(MATCH(U$6,'Planning data'!$G$3:$G$89,1),2)=0,""," ")</f>
        <v/>
      </c>
      <c r="V11" s="435" t="str">
        <f>IF(MOD(MATCH(V$6,'Planning data'!$G$3:$G$89,1),2)=0,""," ")</f>
        <v/>
      </c>
      <c r="W11" s="435" t="str">
        <f>IF(MOD(MATCH(W$6,'Planning data'!$G$3:$G$89,1),2)=0,""," ")</f>
        <v/>
      </c>
      <c r="X11" s="435" t="str">
        <f>IF(MOD(MATCH(X$6,'Planning data'!$G$3:$G$89,1),2)=0,""," ")</f>
        <v/>
      </c>
      <c r="Y11" s="435" t="str">
        <f>IF(MOD(MATCH(Y$6,'Planning data'!$G$3:$G$89,1),2)=0,""," ")</f>
        <v/>
      </c>
      <c r="Z11" s="435" t="str">
        <f>IF(MOD(MATCH(Z$6,'Planning data'!$G$3:$G$89,1),2)=0,""," ")</f>
        <v/>
      </c>
      <c r="AA11" s="435" t="str">
        <f>IF(MOD(MATCH(AA$6,'Planning data'!$G$3:$G$89,1),2)=0,""," ")</f>
        <v/>
      </c>
      <c r="AB11" s="435" t="str">
        <f>IF(MOD(MATCH(AB$6,'Planning data'!$G$3:$G$89,1),2)=0,""," ")</f>
        <v/>
      </c>
      <c r="AC11" s="435" t="str">
        <f>IF(MOD(MATCH(AC$6,'Planning data'!$G$3:$G$89,1),2)=0,""," ")</f>
        <v/>
      </c>
      <c r="AD11" s="435" t="str">
        <f>IF(MOD(MATCH(AD$6,'Planning data'!$G$3:$G$89,1),2)=0,""," ")</f>
        <v/>
      </c>
      <c r="AE11" s="435" t="str">
        <f>IF(MOD(MATCH(AE$6,'Planning data'!$G$3:$G$89,1),2)=0,""," ")</f>
        <v/>
      </c>
      <c r="AF11" s="435" t="str">
        <f>IF(MOD(MATCH(AF$6,'Planning data'!$G$3:$G$89,1),2)=0,""," ")</f>
        <v/>
      </c>
      <c r="AG11" s="435" t="str">
        <f>IF(MOD(MATCH(AG$6,'Planning data'!$G$3:$G$89,1),2)=0,""," ")</f>
        <v/>
      </c>
      <c r="AH11" s="435" t="str">
        <f>IF(MOD(MATCH(AH$6,'Planning data'!$G$3:$G$89,1),2)=0,""," ")</f>
        <v/>
      </c>
      <c r="AI11" s="435" t="str">
        <f>IF(MOD(MATCH(AI$6,'Planning data'!$G$3:$G$89,1),2)=0,""," ")</f>
        <v/>
      </c>
      <c r="AJ11" s="435" t="str">
        <f>IF(MOD(MATCH(AJ$6,'Planning data'!$G$3:$G$89,1),2)=0,""," ")</f>
        <v/>
      </c>
      <c r="AK11" s="435" t="str">
        <f>IF(MOD(MATCH(AK$6,'Planning data'!$G$3:$G$89,1),2)=0,""," ")</f>
        <v/>
      </c>
      <c r="AL11" s="435" t="str">
        <f>IF(MOD(MATCH(AL$6,'Planning data'!$G$3:$G$89,1),2)=0,""," ")</f>
        <v/>
      </c>
      <c r="AM11" s="435" t="str">
        <f>IF(MOD(MATCH(AM$6,'Planning data'!$G$3:$G$89,1),2)=0,""," ")</f>
        <v/>
      </c>
      <c r="AN11" s="435" t="str">
        <f>IF(MOD(MATCH(AN$6,'Planning data'!$G$3:$G$89,1),2)=0,""," ")</f>
        <v/>
      </c>
      <c r="AO11" s="435" t="str">
        <f>IF(MOD(MATCH(AO$6,'Planning data'!$G$3:$G$89,1),2)=0,""," ")</f>
        <v/>
      </c>
      <c r="AP11" s="435" t="str">
        <f>IF(MOD(MATCH(AP$6,'Planning data'!$G$3:$G$89,1),2)=0,""," ")</f>
        <v/>
      </c>
      <c r="AQ11" s="435" t="str">
        <f>IF(MOD(MATCH(AQ$6,'Planning data'!$G$3:$G$89,1),2)=0,""," ")</f>
        <v/>
      </c>
      <c r="AR11" s="435" t="str">
        <f>IF(MOD(MATCH(AR$6,'Planning data'!$G$3:$G$89,1),2)=0,""," ")</f>
        <v/>
      </c>
      <c r="AS11" s="435" t="str">
        <f>IF(MOD(MATCH(AS$6,'Planning data'!$G$3:$G$89,1),2)=0,""," ")</f>
        <v/>
      </c>
      <c r="AT11" s="435" t="str">
        <f>IF(MOD(MATCH(AT$6,'Planning data'!$G$3:$G$89,1),2)=0,""," ")</f>
        <v/>
      </c>
      <c r="AU11" s="435" t="str">
        <f>IF(MOD(MATCH(AU$6,'Planning data'!$G$3:$G$89,1),2)=0,""," ")</f>
        <v/>
      </c>
      <c r="AV11" s="435" t="str">
        <f>IF(MOD(MATCH(AV$6,'Planning data'!$G$3:$G$89,1),2)=0,""," ")</f>
        <v/>
      </c>
      <c r="AW11" s="435" t="str">
        <f>IF(MOD(MATCH(AW$6,'Planning data'!$G$3:$G$89,1),2)=0,""," ")</f>
        <v/>
      </c>
      <c r="AX11" s="435" t="str">
        <f>IF(MOD(MATCH(AX$6,'Planning data'!$G$3:$G$89,1),2)=0,""," ")</f>
        <v/>
      </c>
      <c r="AY11" s="435" t="str">
        <f>IF(MOD(MATCH(AY$6,'Planning data'!$G$3:$G$89,1),2)=0,""," ")</f>
        <v/>
      </c>
      <c r="AZ11" s="435" t="str">
        <f>IF(MOD(MATCH(AZ$6,'Planning data'!$G$3:$G$89,1),2)=0,""," ")</f>
        <v/>
      </c>
      <c r="BA11" s="435" t="str">
        <f>IF(MOD(MATCH(BA$6,'Planning data'!$G$3:$G$89,1),2)=0,""," ")</f>
        <v/>
      </c>
      <c r="BB11" s="435" t="str">
        <f>IF(MOD(MATCH(BB$6,'Planning data'!$G$3:$G$89,1),2)=0,""," ")</f>
        <v/>
      </c>
      <c r="BC11" s="435" t="str">
        <f>IF(MOD(MATCH(BC$6,'Planning data'!$G$3:$G$89,1),2)=0,""," ")</f>
        <v/>
      </c>
      <c r="BD11" s="435" t="str">
        <f>IF(MOD(MATCH(BD$6,'Planning data'!$G$3:$G$89,1),2)=0,""," ")</f>
        <v/>
      </c>
      <c r="BE11" s="435" t="str">
        <f>IF(MOD(MATCH(BE$6,'Planning data'!$G$3:$G$89,1),2)=0,""," ")</f>
        <v/>
      </c>
      <c r="BF11" s="435" t="str">
        <f>IF(MOD(MATCH(BF$6,'Planning data'!$G$3:$G$89,1),2)=0,""," ")</f>
        <v/>
      </c>
      <c r="BG11" s="435" t="str">
        <f>IF(MOD(MATCH(BG$6,'Planning data'!$G$3:$G$89,1),2)=0,""," ")</f>
        <v/>
      </c>
      <c r="BH11" s="435" t="str">
        <f>IF(MOD(MATCH(BH$6,'Planning data'!$G$3:$G$89,1),2)=0,""," ")</f>
        <v/>
      </c>
      <c r="BI11" s="435" t="str">
        <f>IF(MOD(MATCH(BI$6,'Planning data'!$G$3:$G$89,1),2)=0,""," ")</f>
        <v/>
      </c>
      <c r="BJ11" s="435" t="e">
        <f>IF(MOD(MATCH(BJ$6,'Planning data'!$G$3:$G$89,1),2)=0,""," ")</f>
        <v>#N/A</v>
      </c>
      <c r="BK11" s="435" t="e">
        <f>IF(MOD(MATCH(BK$6,'Planning data'!$G$3:$G$89,1),2)=0,""," ")</f>
        <v>#N/A</v>
      </c>
      <c r="BL11" s="435" t="e">
        <f>IF(MOD(MATCH(BL$6,'Planning data'!$G$3:$G$89,1),2)=0,""," ")</f>
        <v>#N/A</v>
      </c>
      <c r="BM11" s="453"/>
    </row>
    <row r="12" spans="1:65" s="425" customFormat="1" ht="50" customHeight="1" x14ac:dyDescent="0.15">
      <c r="A12" s="448"/>
      <c r="B12" s="467" t="str">
        <f>'Planning data'!$H$2</f>
        <v>F JVNL Sol peinture</v>
      </c>
      <c r="C12" s="435" t="str">
        <f>IF(MOD(MATCH(C$6,'Planning data'!$H$3:$H$89,1),2)=0,""," ")</f>
        <v/>
      </c>
      <c r="D12" s="435" t="str">
        <f>IF(MOD(MATCH(D$6,'Planning data'!$H$3:$H$89,1),2)=0,""," ")</f>
        <v/>
      </c>
      <c r="E12" s="435" t="str">
        <f>IF(MOD(MATCH(E$6,'Planning data'!$H$3:$H$89,1),2)=0,""," ")</f>
        <v/>
      </c>
      <c r="F12" s="435" t="str">
        <f>IF(MOD(MATCH(F$6,'Planning data'!$H$3:$H$89,1),2)=0,""," ")</f>
        <v/>
      </c>
      <c r="G12" s="435" t="str">
        <f>IF(MOD(MATCH(G$6,'Planning data'!$H$3:$H$89,1),2)=0,""," ")</f>
        <v/>
      </c>
      <c r="H12" s="435" t="str">
        <f>IF(MOD(MATCH(H$6,'Planning data'!$H$3:$H$89,1),2)=0,""," ")</f>
        <v/>
      </c>
      <c r="I12" s="435" t="str">
        <f>IF(MOD(MATCH(I$6,'Planning data'!$H$3:$H$89,1),2)=0,""," ")</f>
        <v/>
      </c>
      <c r="J12" s="435" t="str">
        <f>IF(MOD(MATCH(J$6,'Planning data'!$H$3:$H$89,1),2)=0,""," ")</f>
        <v/>
      </c>
      <c r="K12" s="435" t="str">
        <f>IF(MOD(MATCH(K$6,'Planning data'!$H$3:$H$89,1),2)=0,""," ")</f>
        <v/>
      </c>
      <c r="L12" s="435" t="str">
        <f>IF(MOD(MATCH(L$6,'Planning data'!$H$3:$H$89,1),2)=0,""," ")</f>
        <v/>
      </c>
      <c r="M12" s="435" t="str">
        <f>IF(MOD(MATCH(M$6,'Planning data'!$H$3:$H$89,1),2)=0,""," ")</f>
        <v/>
      </c>
      <c r="N12" s="435" t="str">
        <f>IF(MOD(MATCH(N$6,'Planning data'!$H$3:$H$89,1),2)=0,""," ")</f>
        <v/>
      </c>
      <c r="O12" s="435" t="str">
        <f>IF(MOD(MATCH(O$6,'Planning data'!$H$3:$H$89,1),2)=0,""," ")</f>
        <v/>
      </c>
      <c r="P12" s="435" t="str">
        <f>IF(MOD(MATCH(P$6,'Planning data'!$H$3:$H$89,1),2)=0,""," ")</f>
        <v/>
      </c>
      <c r="Q12" s="435" t="str">
        <f>IF(MOD(MATCH(Q$6,'Planning data'!$H$3:$H$89,1),2)=0,""," ")</f>
        <v/>
      </c>
      <c r="R12" s="435" t="str">
        <f>IF(MOD(MATCH(R$6,'Planning data'!$H$3:$H$89,1),2)=0,""," ")</f>
        <v/>
      </c>
      <c r="S12" s="435" t="str">
        <f>IF(MOD(MATCH(S$6,'Planning data'!$H$3:$H$89,1),2)=0,""," ")</f>
        <v/>
      </c>
      <c r="T12" s="435" t="str">
        <f>IF(MOD(MATCH(T$6,'Planning data'!$H$3:$H$89,1),2)=0,""," ")</f>
        <v/>
      </c>
      <c r="U12" s="435" t="str">
        <f>IF(MOD(MATCH(U$6,'Planning data'!$H$3:$H$89,1),2)=0,""," ")</f>
        <v/>
      </c>
      <c r="V12" s="435" t="str">
        <f>IF(MOD(MATCH(V$6,'Planning data'!$H$3:$H$89,1),2)=0,""," ")</f>
        <v/>
      </c>
      <c r="W12" s="435" t="str">
        <f>IF(MOD(MATCH(W$6,'Planning data'!$H$3:$H$89,1),2)=0,""," ")</f>
        <v/>
      </c>
      <c r="X12" s="435" t="str">
        <f>IF(MOD(MATCH(X$6,'Planning data'!$H$3:$H$89,1),2)=0,""," ")</f>
        <v/>
      </c>
      <c r="Y12" s="435" t="str">
        <f>IF(MOD(MATCH(Y$6,'Planning data'!$H$3:$H$89,1),2)=0,""," ")</f>
        <v/>
      </c>
      <c r="Z12" s="435" t="str">
        <f>IF(MOD(MATCH(Z$6,'Planning data'!$H$3:$H$89,1),2)=0,""," ")</f>
        <v/>
      </c>
      <c r="AA12" s="435" t="str">
        <f>IF(MOD(MATCH(AA$6,'Planning data'!$H$3:$H$89,1),2)=0,""," ")</f>
        <v/>
      </c>
      <c r="AB12" s="435" t="str">
        <f>IF(MOD(MATCH(AB$6,'Planning data'!$H$3:$H$89,1),2)=0,""," ")</f>
        <v/>
      </c>
      <c r="AC12" s="435" t="str">
        <f>IF(MOD(MATCH(AC$6,'Planning data'!$H$3:$H$89,1),2)=0,""," ")</f>
        <v/>
      </c>
      <c r="AD12" s="435" t="str">
        <f>IF(MOD(MATCH(AD$6,'Planning data'!$H$3:$H$89,1),2)=0,""," ")</f>
        <v/>
      </c>
      <c r="AE12" s="435" t="str">
        <f>IF(MOD(MATCH(AE$6,'Planning data'!$H$3:$H$89,1),2)=0,""," ")</f>
        <v/>
      </c>
      <c r="AF12" s="435" t="str">
        <f>IF(MOD(MATCH(AF$6,'Planning data'!$H$3:$H$89,1),2)=0,""," ")</f>
        <v/>
      </c>
      <c r="AG12" s="435" t="str">
        <f>IF(MOD(MATCH(AG$6,'Planning data'!$H$3:$H$89,1),2)=0,""," ")</f>
        <v/>
      </c>
      <c r="AH12" s="435" t="str">
        <f>IF(MOD(MATCH(AH$6,'Planning data'!$H$3:$H$89,1),2)=0,""," ")</f>
        <v/>
      </c>
      <c r="AI12" s="435" t="str">
        <f>IF(MOD(MATCH(AI$6,'Planning data'!$H$3:$H$89,1),2)=0,""," ")</f>
        <v/>
      </c>
      <c r="AJ12" s="435" t="str">
        <f>IF(MOD(MATCH(AJ$6,'Planning data'!$H$3:$H$89,1),2)=0,""," ")</f>
        <v/>
      </c>
      <c r="AK12" s="435" t="str">
        <f>IF(MOD(MATCH(AK$6,'Planning data'!$H$3:$H$89,1),2)=0,""," ")</f>
        <v/>
      </c>
      <c r="AL12" s="435" t="str">
        <f>IF(MOD(MATCH(AL$6,'Planning data'!$H$3:$H$89,1),2)=0,""," ")</f>
        <v/>
      </c>
      <c r="AM12" s="435" t="str">
        <f>IF(MOD(MATCH(AM$6,'Planning data'!$H$3:$H$89,1),2)=0,""," ")</f>
        <v/>
      </c>
      <c r="AN12" s="435" t="str">
        <f>IF(MOD(MATCH(AN$6,'Planning data'!$H$3:$H$89,1),2)=0,""," ")</f>
        <v/>
      </c>
      <c r="AO12" s="435" t="str">
        <f>IF(MOD(MATCH(AO$6,'Planning data'!$H$3:$H$89,1),2)=0,""," ")</f>
        <v/>
      </c>
      <c r="AP12" s="435" t="str">
        <f>IF(MOD(MATCH(AP$6,'Planning data'!$H$3:$H$89,1),2)=0,""," ")</f>
        <v/>
      </c>
      <c r="AQ12" s="435" t="str">
        <f>IF(MOD(MATCH(AQ$6,'Planning data'!$H$3:$H$89,1),2)=0,""," ")</f>
        <v/>
      </c>
      <c r="AR12" s="435" t="str">
        <f>IF(MOD(MATCH(AR$6,'Planning data'!$H$3:$H$89,1),2)=0,""," ")</f>
        <v/>
      </c>
      <c r="AS12" s="435" t="str">
        <f>IF(MOD(MATCH(AS$6,'Planning data'!$H$3:$H$89,1),2)=0,""," ")</f>
        <v/>
      </c>
      <c r="AT12" s="435" t="str">
        <f>IF(MOD(MATCH(AT$6,'Planning data'!$H$3:$H$89,1),2)=0,""," ")</f>
        <v/>
      </c>
      <c r="AU12" s="435" t="str">
        <f>IF(MOD(MATCH(AU$6,'Planning data'!$H$3:$H$89,1),2)=0,""," ")</f>
        <v/>
      </c>
      <c r="AV12" s="435" t="str">
        <f>IF(MOD(MATCH(AV$6,'Planning data'!$H$3:$H$89,1),2)=0,""," ")</f>
        <v/>
      </c>
      <c r="AW12" s="435" t="str">
        <f>IF(MOD(MATCH(AW$6,'Planning data'!$H$3:$H$89,1),2)=0,""," ")</f>
        <v/>
      </c>
      <c r="AX12" s="435" t="str">
        <f>IF(MOD(MATCH(AX$6,'Planning data'!$H$3:$H$89,1),2)=0,""," ")</f>
        <v/>
      </c>
      <c r="AY12" s="435" t="str">
        <f>IF(MOD(MATCH(AY$6,'Planning data'!$H$3:$H$89,1),2)=0,""," ")</f>
        <v/>
      </c>
      <c r="AZ12" s="435" t="str">
        <f>IF(MOD(MATCH(AZ$6,'Planning data'!$H$3:$H$89,1),2)=0,""," ")</f>
        <v/>
      </c>
      <c r="BA12" s="435" t="str">
        <f>IF(MOD(MATCH(BA$6,'Planning data'!$H$3:$H$89,1),2)=0,""," ")</f>
        <v/>
      </c>
      <c r="BB12" s="435" t="str">
        <f>IF(MOD(MATCH(BB$6,'Planning data'!$H$3:$H$89,1),2)=0,""," ")</f>
        <v/>
      </c>
      <c r="BC12" s="435" t="str">
        <f>IF(MOD(MATCH(BC$6,'Planning data'!$H$3:$H$89,1),2)=0,""," ")</f>
        <v/>
      </c>
      <c r="BD12" s="435" t="str">
        <f>IF(MOD(MATCH(BD$6,'Planning data'!$H$3:$H$89,1),2)=0,""," ")</f>
        <v/>
      </c>
      <c r="BE12" s="435" t="str">
        <f>IF(MOD(MATCH(BE$6,'Planning data'!$H$3:$H$89,1),2)=0,""," ")</f>
        <v/>
      </c>
      <c r="BF12" s="435" t="str">
        <f>IF(MOD(MATCH(BF$6,'Planning data'!$H$3:$H$89,1),2)=0,""," ")</f>
        <v/>
      </c>
      <c r="BG12" s="435" t="str">
        <f>IF(MOD(MATCH(BG$6,'Planning data'!$H$3:$H$89,1),2)=0,""," ")</f>
        <v/>
      </c>
      <c r="BH12" s="435" t="str">
        <f>IF(MOD(MATCH(BH$6,'Planning data'!$H$3:$H$89,1),2)=0,""," ")</f>
        <v/>
      </c>
      <c r="BI12" s="435" t="str">
        <f>IF(MOD(MATCH(BI$6,'Planning data'!$H$3:$H$89,1),2)=0,""," ")</f>
        <v/>
      </c>
      <c r="BJ12" s="435" t="e">
        <f>IF(MOD(MATCH(BJ$6,'Planning data'!$H$3:$H$89,1),2)=0,""," ")</f>
        <v>#N/A</v>
      </c>
      <c r="BK12" s="435" t="e">
        <f>IF(MOD(MATCH(BK$6,'Planning data'!$H$3:$H$89,1),2)=0,""," ")</f>
        <v>#N/A</v>
      </c>
      <c r="BL12" s="435" t="e">
        <f>IF(MOD(MATCH(BL$6,'Planning data'!$H$3:$H$89,1),2)=0,""," ")</f>
        <v>#N/A</v>
      </c>
      <c r="BM12" s="453"/>
    </row>
    <row r="13" spans="1:65" s="425" customFormat="1" ht="50" customHeight="1" x14ac:dyDescent="0.15">
      <c r="A13" s="448"/>
      <c r="B13" s="467" t="str">
        <f>'Planning data'!$I$2</f>
        <v>G MNR Chauffage</v>
      </c>
      <c r="C13" s="435" t="str">
        <f>IF(MOD(MATCH(C$6,'Planning data'!$I$3:$I$89,1),2)=0,""," ")</f>
        <v/>
      </c>
      <c r="D13" s="435" t="str">
        <f>IF(MOD(MATCH(D$6,'Planning data'!$I$3:$I$89,1),2)=0,""," ")</f>
        <v/>
      </c>
      <c r="E13" s="435" t="str">
        <f>IF(MOD(MATCH(E$6,'Planning data'!$I$3:$I$89,1),2)=0,""," ")</f>
        <v/>
      </c>
      <c r="F13" s="435" t="str">
        <f>IF(MOD(MATCH(F$6,'Planning data'!$I$3:$I$89,1),2)=0,""," ")</f>
        <v/>
      </c>
      <c r="G13" s="435" t="str">
        <f>IF(MOD(MATCH(G$6,'Planning data'!$I$3:$I$89,1),2)=0,""," ")</f>
        <v/>
      </c>
      <c r="H13" s="435" t="str">
        <f>IF(MOD(MATCH(H$6,'Planning data'!$I$3:$I$89,1),2)=0,""," ")</f>
        <v/>
      </c>
      <c r="I13" s="435" t="str">
        <f>IF(MOD(MATCH(I$6,'Planning data'!$I$3:$I$89,1),2)=0,""," ")</f>
        <v/>
      </c>
      <c r="J13" s="435" t="str">
        <f>IF(MOD(MATCH(J$6,'Planning data'!$I$3:$I$89,1),2)=0,""," ")</f>
        <v/>
      </c>
      <c r="K13" s="435" t="str">
        <f>IF(MOD(MATCH(K$6,'Planning data'!$I$3:$I$89,1),2)=0,""," ")</f>
        <v/>
      </c>
      <c r="L13" s="435" t="str">
        <f>IF(MOD(MATCH(L$6,'Planning data'!$I$3:$I$89,1),2)=0,""," ")</f>
        <v/>
      </c>
      <c r="M13" s="435" t="str">
        <f>IF(MOD(MATCH(M$6,'Planning data'!$I$3:$I$89,1),2)=0,""," ")</f>
        <v/>
      </c>
      <c r="N13" s="435" t="str">
        <f>IF(MOD(MATCH(N$6,'Planning data'!$I$3:$I$89,1),2)=0,""," ")</f>
        <v/>
      </c>
      <c r="O13" s="435" t="str">
        <f>IF(MOD(MATCH(O$6,'Planning data'!$I$3:$I$89,1),2)=0,""," ")</f>
        <v/>
      </c>
      <c r="P13" s="435" t="str">
        <f>IF(MOD(MATCH(P$6,'Planning data'!$I$3:$I$89,1),2)=0,""," ")</f>
        <v/>
      </c>
      <c r="Q13" s="435" t="str">
        <f>IF(MOD(MATCH(Q$6,'Planning data'!$I$3:$I$89,1),2)=0,""," ")</f>
        <v/>
      </c>
      <c r="R13" s="435" t="str">
        <f>IF(MOD(MATCH(R$6,'Planning data'!$I$3:$I$89,1),2)=0,""," ")</f>
        <v/>
      </c>
      <c r="S13" s="435" t="str">
        <f>IF(MOD(MATCH(S$6,'Planning data'!$I$3:$I$89,1),2)=0,""," ")</f>
        <v/>
      </c>
      <c r="T13" s="435" t="str">
        <f>IF(MOD(MATCH(T$6,'Planning data'!$I$3:$I$89,1),2)=0,""," ")</f>
        <v/>
      </c>
      <c r="U13" s="435" t="str">
        <f>IF(MOD(MATCH(U$6,'Planning data'!$I$3:$I$89,1),2)=0,""," ")</f>
        <v/>
      </c>
      <c r="V13" s="435" t="str">
        <f>IF(MOD(MATCH(V$6,'Planning data'!$I$3:$I$89,1),2)=0,""," ")</f>
        <v/>
      </c>
      <c r="W13" s="435" t="str">
        <f>IF(MOD(MATCH(W$6,'Planning data'!$I$3:$I$89,1),2)=0,""," ")</f>
        <v/>
      </c>
      <c r="X13" s="435" t="str">
        <f>IF(MOD(MATCH(X$6,'Planning data'!$I$3:$I$89,1),2)=0,""," ")</f>
        <v/>
      </c>
      <c r="Y13" s="435" t="str">
        <f>IF(MOD(MATCH(Y$6,'Planning data'!$I$3:$I$89,1),2)=0,""," ")</f>
        <v/>
      </c>
      <c r="Z13" s="435" t="str">
        <f>IF(MOD(MATCH(Z$6,'Planning data'!$I$3:$I$89,1),2)=0,""," ")</f>
        <v/>
      </c>
      <c r="AA13" s="435" t="str">
        <f>IF(MOD(MATCH(AA$6,'Planning data'!$I$3:$I$89,1),2)=0,""," ")</f>
        <v/>
      </c>
      <c r="AB13" s="435" t="str">
        <f>IF(MOD(MATCH(AB$6,'Planning data'!$I$3:$I$89,1),2)=0,""," ")</f>
        <v/>
      </c>
      <c r="AC13" s="435" t="str">
        <f>IF(MOD(MATCH(AC$6,'Planning data'!$I$3:$I$89,1),2)=0,""," ")</f>
        <v/>
      </c>
      <c r="AD13" s="435" t="str">
        <f>IF(MOD(MATCH(AD$6,'Planning data'!$I$3:$I$89,1),2)=0,""," ")</f>
        <v/>
      </c>
      <c r="AE13" s="435" t="str">
        <f>IF(MOD(MATCH(AE$6,'Planning data'!$I$3:$I$89,1),2)=0,""," ")</f>
        <v/>
      </c>
      <c r="AF13" s="435" t="str">
        <f>IF(MOD(MATCH(AF$6,'Planning data'!$I$3:$I$89,1),2)=0,""," ")</f>
        <v/>
      </c>
      <c r="AG13" s="435" t="str">
        <f>IF(MOD(MATCH(AG$6,'Planning data'!$I$3:$I$89,1),2)=0,""," ")</f>
        <v/>
      </c>
      <c r="AH13" s="435" t="str">
        <f>IF(MOD(MATCH(AH$6,'Planning data'!$I$3:$I$89,1),2)=0,""," ")</f>
        <v/>
      </c>
      <c r="AI13" s="435" t="str">
        <f>IF(MOD(MATCH(AI$6,'Planning data'!$I$3:$I$89,1),2)=0,""," ")</f>
        <v/>
      </c>
      <c r="AJ13" s="435" t="str">
        <f>IF(MOD(MATCH(AJ$6,'Planning data'!$I$3:$I$89,1),2)=0,""," ")</f>
        <v/>
      </c>
      <c r="AK13" s="435" t="str">
        <f>IF(MOD(MATCH(AK$6,'Planning data'!$I$3:$I$89,1),2)=0,""," ")</f>
        <v/>
      </c>
      <c r="AL13" s="435" t="str">
        <f>IF(MOD(MATCH(AL$6,'Planning data'!$I$3:$I$89,1),2)=0,""," ")</f>
        <v/>
      </c>
      <c r="AM13" s="435" t="str">
        <f>IF(MOD(MATCH(AM$6,'Planning data'!$I$3:$I$89,1),2)=0,""," ")</f>
        <v/>
      </c>
      <c r="AN13" s="435" t="str">
        <f>IF(MOD(MATCH(AN$6,'Planning data'!$I$3:$I$89,1),2)=0,""," ")</f>
        <v/>
      </c>
      <c r="AO13" s="435" t="str">
        <f>IF(MOD(MATCH(AO$6,'Planning data'!$I$3:$I$89,1),2)=0,""," ")</f>
        <v/>
      </c>
      <c r="AP13" s="435" t="str">
        <f>IF(MOD(MATCH(AP$6,'Planning data'!$I$3:$I$89,1),2)=0,""," ")</f>
        <v/>
      </c>
      <c r="AQ13" s="435" t="str">
        <f>IF(MOD(MATCH(AQ$6,'Planning data'!$I$3:$I$89,1),2)=0,""," ")</f>
        <v/>
      </c>
      <c r="AR13" s="435" t="str">
        <f>IF(MOD(MATCH(AR$6,'Planning data'!$I$3:$I$89,1),2)=0,""," ")</f>
        <v/>
      </c>
      <c r="AS13" s="435" t="str">
        <f>IF(MOD(MATCH(AS$6,'Planning data'!$I$3:$I$89,1),2)=0,""," ")</f>
        <v/>
      </c>
      <c r="AT13" s="435" t="str">
        <f>IF(MOD(MATCH(AT$6,'Planning data'!$I$3:$I$89,1),2)=0,""," ")</f>
        <v/>
      </c>
      <c r="AU13" s="435" t="str">
        <f>IF(MOD(MATCH(AU$6,'Planning data'!$I$3:$I$89,1),2)=0,""," ")</f>
        <v/>
      </c>
      <c r="AV13" s="435" t="str">
        <f>IF(MOD(MATCH(AV$6,'Planning data'!$I$3:$I$89,1),2)=0,""," ")</f>
        <v/>
      </c>
      <c r="AW13" s="435" t="str">
        <f>IF(MOD(MATCH(AW$6,'Planning data'!$I$3:$I$89,1),2)=0,""," ")</f>
        <v/>
      </c>
      <c r="AX13" s="435" t="str">
        <f>IF(MOD(MATCH(AX$6,'Planning data'!$I$3:$I$89,1),2)=0,""," ")</f>
        <v/>
      </c>
      <c r="AY13" s="435" t="str">
        <f>IF(MOD(MATCH(AY$6,'Planning data'!$I$3:$I$89,1),2)=0,""," ")</f>
        <v/>
      </c>
      <c r="AZ13" s="435" t="str">
        <f>IF(MOD(MATCH(AZ$6,'Planning data'!$I$3:$I$89,1),2)=0,""," ")</f>
        <v/>
      </c>
      <c r="BA13" s="435" t="str">
        <f>IF(MOD(MATCH(BA$6,'Planning data'!$I$3:$I$89,1),2)=0,""," ")</f>
        <v/>
      </c>
      <c r="BB13" s="435" t="str">
        <f>IF(MOD(MATCH(BB$6,'Planning data'!$I$3:$I$89,1),2)=0,""," ")</f>
        <v/>
      </c>
      <c r="BC13" s="435" t="str">
        <f>IF(MOD(MATCH(BC$6,'Planning data'!$I$3:$I$89,1),2)=0,""," ")</f>
        <v/>
      </c>
      <c r="BD13" s="435" t="str">
        <f>IF(MOD(MATCH(BD$6,'Planning data'!$I$3:$I$89,1),2)=0,""," ")</f>
        <v/>
      </c>
      <c r="BE13" s="435" t="str">
        <f>IF(MOD(MATCH(BE$6,'Planning data'!$I$3:$I$89,1),2)=0,""," ")</f>
        <v/>
      </c>
      <c r="BF13" s="435" t="str">
        <f>IF(MOD(MATCH(BF$6,'Planning data'!$I$3:$I$89,1),2)=0,""," ")</f>
        <v/>
      </c>
      <c r="BG13" s="435" t="str">
        <f>IF(MOD(MATCH(BG$6,'Planning data'!$I$3:$I$89,1),2)=0,""," ")</f>
        <v/>
      </c>
      <c r="BH13" s="435" t="str">
        <f>IF(MOD(MATCH(BH$6,'Planning data'!$I$3:$I$89,1),2)=0,""," ")</f>
        <v/>
      </c>
      <c r="BI13" s="435" t="str">
        <f>IF(MOD(MATCH(BI$6,'Planning data'!$I$3:$I$89,1),2)=0,""," ")</f>
        <v/>
      </c>
      <c r="BJ13" s="435" t="e">
        <f>IF(MOD(MATCH(BJ$6,'Planning data'!$I$3:$I$89,1),2)=0,""," ")</f>
        <v>#N/A</v>
      </c>
      <c r="BK13" s="435" t="e">
        <f>IF(MOD(MATCH(BK$6,'Planning data'!$I$3:$I$89,1),2)=0,""," ")</f>
        <v>#N/A</v>
      </c>
      <c r="BL13" s="435" t="e">
        <f>IF(MOD(MATCH(BL$6,'Planning data'!$I$3:$I$89,1),2)=0,""," ")</f>
        <v>#N/A</v>
      </c>
      <c r="BM13" s="453"/>
    </row>
    <row r="14" spans="1:65" s="425" customFormat="1" ht="50" customHeight="1" x14ac:dyDescent="0.15">
      <c r="A14" s="448"/>
      <c r="B14" s="467" t="str">
        <f>'Planning data'!J2</f>
        <v>N°7</v>
      </c>
      <c r="C14" s="435" t="str">
        <f>IF(MOD(MATCH(C$6,'Planning data'!$J$3:$J$89,1),2)=0,""," ")</f>
        <v/>
      </c>
      <c r="D14" s="435" t="str">
        <f>IF(MOD(MATCH(D$6,'Planning data'!$J$3:$J$89,1),2)=0,""," ")</f>
        <v/>
      </c>
      <c r="E14" s="435" t="str">
        <f>IF(MOD(MATCH(E$6,'Planning data'!$J$3:$J$89,1),2)=0,""," ")</f>
        <v/>
      </c>
      <c r="F14" s="435" t="str">
        <f>IF(MOD(MATCH(F$6,'Planning data'!$J$3:$J$89,1),2)=0,""," ")</f>
        <v/>
      </c>
      <c r="G14" s="435" t="str">
        <f>IF(MOD(MATCH(G$6,'Planning data'!$J$3:$J$89,1),2)=0,""," ")</f>
        <v/>
      </c>
      <c r="H14" s="435" t="str">
        <f>IF(MOD(MATCH(H$6,'Planning data'!$J$3:$J$89,1),2)=0,""," ")</f>
        <v/>
      </c>
      <c r="I14" s="435" t="str">
        <f>IF(MOD(MATCH(I$6,'Planning data'!$J$3:$J$89,1),2)=0,""," ")</f>
        <v/>
      </c>
      <c r="J14" s="435" t="str">
        <f>IF(MOD(MATCH(J$6,'Planning data'!$J$3:$J$89,1),2)=0,""," ")</f>
        <v/>
      </c>
      <c r="K14" s="435" t="str">
        <f>IF(MOD(MATCH(K$6,'Planning data'!$J$3:$J$89,1),2)=0,""," ")</f>
        <v/>
      </c>
      <c r="L14" s="435" t="str">
        <f>IF(MOD(MATCH(L$6,'Planning data'!$J$3:$J$89,1),2)=0,""," ")</f>
        <v/>
      </c>
      <c r="M14" s="435" t="str">
        <f>IF(MOD(MATCH(M$6,'Planning data'!$J$3:$J$89,1),2)=0,""," ")</f>
        <v/>
      </c>
      <c r="N14" s="435" t="str">
        <f>IF(MOD(MATCH(N$6,'Planning data'!$J$3:$J$89,1),2)=0,""," ")</f>
        <v/>
      </c>
      <c r="O14" s="435" t="str">
        <f>IF(MOD(MATCH(O$6,'Planning data'!$J$3:$J$89,1),2)=0,""," ")</f>
        <v/>
      </c>
      <c r="P14" s="435" t="str">
        <f>IF(MOD(MATCH(P$6,'Planning data'!$J$3:$J$89,1),2)=0,""," ")</f>
        <v/>
      </c>
      <c r="Q14" s="435" t="str">
        <f>IF(MOD(MATCH(Q$6,'Planning data'!$J$3:$J$89,1),2)=0,""," ")</f>
        <v/>
      </c>
      <c r="R14" s="435" t="str">
        <f>IF(MOD(MATCH(R$6,'Planning data'!$J$3:$J$89,1),2)=0,""," ")</f>
        <v/>
      </c>
      <c r="S14" s="435" t="str">
        <f>IF(MOD(MATCH(S$6,'Planning data'!$J$3:$J$89,1),2)=0,""," ")</f>
        <v/>
      </c>
      <c r="T14" s="435" t="str">
        <f>IF(MOD(MATCH(T$6,'Planning data'!$J$3:$J$89,1),2)=0,""," ")</f>
        <v/>
      </c>
      <c r="U14" s="435" t="str">
        <f>IF(MOD(MATCH(U$6,'Planning data'!$J$3:$J$89,1),2)=0,""," ")</f>
        <v/>
      </c>
      <c r="V14" s="435" t="str">
        <f>IF(MOD(MATCH(V$6,'Planning data'!$J$3:$J$89,1),2)=0,""," ")</f>
        <v/>
      </c>
      <c r="W14" s="435" t="str">
        <f>IF(MOD(MATCH(W$6,'Planning data'!$J$3:$J$89,1),2)=0,""," ")</f>
        <v/>
      </c>
      <c r="X14" s="435" t="str">
        <f>IF(MOD(MATCH(X$6,'Planning data'!$J$3:$J$89,1),2)=0,""," ")</f>
        <v/>
      </c>
      <c r="Y14" s="435" t="str">
        <f>IF(MOD(MATCH(Y$6,'Planning data'!$J$3:$J$89,1),2)=0,""," ")</f>
        <v/>
      </c>
      <c r="Z14" s="435" t="str">
        <f>IF(MOD(MATCH(Z$6,'Planning data'!$J$3:$J$89,1),2)=0,""," ")</f>
        <v/>
      </c>
      <c r="AA14" s="435" t="str">
        <f>IF(MOD(MATCH(AA$6,'Planning data'!$J$3:$J$89,1),2)=0,""," ")</f>
        <v/>
      </c>
      <c r="AB14" s="435" t="str">
        <f>IF(MOD(MATCH(AB$6,'Planning data'!$J$3:$J$89,1),2)=0,""," ")</f>
        <v/>
      </c>
      <c r="AC14" s="435" t="str">
        <f>IF(MOD(MATCH(AC$6,'Planning data'!$J$3:$J$89,1),2)=0,""," ")</f>
        <v/>
      </c>
      <c r="AD14" s="435" t="str">
        <f>IF(MOD(MATCH(AD$6,'Planning data'!$J$3:$J$89,1),2)=0,""," ")</f>
        <v/>
      </c>
      <c r="AE14" s="435" t="str">
        <f>IF(MOD(MATCH(AE$6,'Planning data'!$J$3:$J$89,1),2)=0,""," ")</f>
        <v/>
      </c>
      <c r="AF14" s="435" t="str">
        <f>IF(MOD(MATCH(AF$6,'Planning data'!$J$3:$J$89,1),2)=0,""," ")</f>
        <v/>
      </c>
      <c r="AG14" s="435" t="str">
        <f>IF(MOD(MATCH(AG$6,'Planning data'!$J$3:$J$89,1),2)=0,""," ")</f>
        <v/>
      </c>
      <c r="AH14" s="435" t="str">
        <f>IF(MOD(MATCH(AH$6,'Planning data'!$J$3:$J$89,1),2)=0,""," ")</f>
        <v/>
      </c>
      <c r="AI14" s="435" t="str">
        <f>IF(MOD(MATCH(AI$6,'Planning data'!$J$3:$J$89,1),2)=0,""," ")</f>
        <v/>
      </c>
      <c r="AJ14" s="435" t="str">
        <f>IF(MOD(MATCH(AJ$6,'Planning data'!$J$3:$J$89,1),2)=0,""," ")</f>
        <v/>
      </c>
      <c r="AK14" s="435" t="str">
        <f>IF(MOD(MATCH(AK$6,'Planning data'!$J$3:$J$89,1),2)=0,""," ")</f>
        <v/>
      </c>
      <c r="AL14" s="435" t="str">
        <f>IF(MOD(MATCH(AL$6,'Planning data'!$J$3:$J$89,1),2)=0,""," ")</f>
        <v/>
      </c>
      <c r="AM14" s="435" t="str">
        <f>IF(MOD(MATCH(AM$6,'Planning data'!$J$3:$J$89,1),2)=0,""," ")</f>
        <v/>
      </c>
      <c r="AN14" s="435" t="str">
        <f>IF(MOD(MATCH(AN$6,'Planning data'!$J$3:$J$89,1),2)=0,""," ")</f>
        <v/>
      </c>
      <c r="AO14" s="435" t="str">
        <f>IF(MOD(MATCH(AO$6,'Planning data'!$J$3:$J$89,1),2)=0,""," ")</f>
        <v/>
      </c>
      <c r="AP14" s="435" t="str">
        <f>IF(MOD(MATCH(AP$6,'Planning data'!$J$3:$J$89,1),2)=0,""," ")</f>
        <v/>
      </c>
      <c r="AQ14" s="435" t="str">
        <f>IF(MOD(MATCH(AQ$6,'Planning data'!$J$3:$J$89,1),2)=0,""," ")</f>
        <v/>
      </c>
      <c r="AR14" s="435" t="str">
        <f>IF(MOD(MATCH(AR$6,'Planning data'!$J$3:$J$89,1),2)=0,""," ")</f>
        <v/>
      </c>
      <c r="AS14" s="435" t="str">
        <f>IF(MOD(MATCH(AS$6,'Planning data'!$J$3:$J$89,1),2)=0,""," ")</f>
        <v/>
      </c>
      <c r="AT14" s="435" t="str">
        <f>IF(MOD(MATCH(AT$6,'Planning data'!$J$3:$J$89,1),2)=0,""," ")</f>
        <v/>
      </c>
      <c r="AU14" s="435" t="str">
        <f>IF(MOD(MATCH(AU$6,'Planning data'!$J$3:$J$89,1),2)=0,""," ")</f>
        <v/>
      </c>
      <c r="AV14" s="435" t="str">
        <f>IF(MOD(MATCH(AV$6,'Planning data'!$J$3:$J$89,1),2)=0,""," ")</f>
        <v/>
      </c>
      <c r="AW14" s="435" t="str">
        <f>IF(MOD(MATCH(AW$6,'Planning data'!$J$3:$J$89,1),2)=0,""," ")</f>
        <v/>
      </c>
      <c r="AX14" s="435" t="str">
        <f>IF(MOD(MATCH(AX$6,'Planning data'!$J$3:$J$89,1),2)=0,""," ")</f>
        <v/>
      </c>
      <c r="AY14" s="435" t="str">
        <f>IF(MOD(MATCH(AY$6,'Planning data'!$J$3:$J$89,1),2)=0,""," ")</f>
        <v/>
      </c>
      <c r="AZ14" s="435" t="str">
        <f>IF(MOD(MATCH(AZ$6,'Planning data'!$J$3:$J$89,1),2)=0,""," ")</f>
        <v/>
      </c>
      <c r="BA14" s="435" t="str">
        <f>IF(MOD(MATCH(BA$6,'Planning data'!$J$3:$J$89,1),2)=0,""," ")</f>
        <v/>
      </c>
      <c r="BB14" s="435" t="str">
        <f>IF(MOD(MATCH(BB$6,'Planning data'!$J$3:$J$89,1),2)=0,""," ")</f>
        <v/>
      </c>
      <c r="BC14" s="435" t="str">
        <f>IF(MOD(MATCH(BC$6,'Planning data'!$J$3:$J$89,1),2)=0,""," ")</f>
        <v/>
      </c>
      <c r="BD14" s="435" t="str">
        <f>IF(MOD(MATCH(BD$6,'Planning data'!$J$3:$J$89,1),2)=0,""," ")</f>
        <v/>
      </c>
      <c r="BE14" s="435" t="str">
        <f>IF(MOD(MATCH(BE$6,'Planning data'!$J$3:$J$89,1),2)=0,""," ")</f>
        <v/>
      </c>
      <c r="BF14" s="435" t="str">
        <f>IF(MOD(MATCH(BF$6,'Planning data'!$J$3:$J$89,1),2)=0,""," ")</f>
        <v/>
      </c>
      <c r="BG14" s="435" t="str">
        <f>IF(MOD(MATCH(BG$6,'Planning data'!$J$3:$J$89,1),2)=0,""," ")</f>
        <v/>
      </c>
      <c r="BH14" s="435" t="str">
        <f>IF(MOD(MATCH(BH$6,'Planning data'!$J$3:$J$89,1),2)=0,""," ")</f>
        <v/>
      </c>
      <c r="BI14" s="435" t="str">
        <f>IF(MOD(MATCH(BI$6,'Planning data'!$J$3:$J$89,1),2)=0,""," ")</f>
        <v/>
      </c>
      <c r="BJ14" s="435" t="e">
        <f>IF(MOD(MATCH(BJ$6,'Planning data'!$J$3:$J$89,1),2)=0,""," ")</f>
        <v>#N/A</v>
      </c>
      <c r="BK14" s="435" t="e">
        <f>IF(MOD(MATCH(BK$6,'Planning data'!$J$3:$J$89,1),2)=0,""," ")</f>
        <v>#N/A</v>
      </c>
      <c r="BL14" s="435" t="e">
        <f>IF(MOD(MATCH(BL$6,'Planning data'!$J$3:$J$89,1),2)=0,""," ")</f>
        <v>#N/A</v>
      </c>
      <c r="BM14" s="453"/>
    </row>
    <row r="15" spans="1:65" s="425" customFormat="1" ht="50" customHeight="1" x14ac:dyDescent="0.15">
      <c r="A15" s="448"/>
      <c r="B15" s="468" t="str">
        <f>'Planning data'!K2</f>
        <v>N°8</v>
      </c>
      <c r="C15" s="435" t="str">
        <f>IF(MOD(MATCH(C$6,'Planning data'!$K$3:$K$89,1),2)=0,""," ")</f>
        <v/>
      </c>
      <c r="D15" s="435" t="str">
        <f>IF(MOD(MATCH(D$6,'Planning data'!$K$3:$K$89,1),2)=0,""," ")</f>
        <v/>
      </c>
      <c r="E15" s="435" t="str">
        <f>IF(MOD(MATCH(E$6,'Planning data'!$K$3:$K$89,1),2)=0,""," ")</f>
        <v/>
      </c>
      <c r="F15" s="435" t="str">
        <f>IF(MOD(MATCH(F$6,'Planning data'!$K$3:$K$89,1),2)=0,""," ")</f>
        <v/>
      </c>
      <c r="G15" s="435" t="str">
        <f>IF(MOD(MATCH(G$6,'Planning data'!$K$3:$K$89,1),2)=0,""," ")</f>
        <v/>
      </c>
      <c r="H15" s="435" t="str">
        <f>IF(MOD(MATCH(H$6,'Planning data'!$K$3:$K$89,1),2)=0,""," ")</f>
        <v/>
      </c>
      <c r="I15" s="435" t="str">
        <f>IF(MOD(MATCH(I$6,'Planning data'!$K$3:$K$89,1),2)=0,""," ")</f>
        <v/>
      </c>
      <c r="J15" s="435" t="str">
        <f>IF(MOD(MATCH(J$6,'Planning data'!$K$3:$K$89,1),2)=0,""," ")</f>
        <v/>
      </c>
      <c r="K15" s="435" t="str">
        <f>IF(MOD(MATCH(K$6,'Planning data'!$K$3:$K$89,1),2)=0,""," ")</f>
        <v/>
      </c>
      <c r="L15" s="435" t="str">
        <f>IF(MOD(MATCH(L$6,'Planning data'!$K$3:$K$89,1),2)=0,""," ")</f>
        <v/>
      </c>
      <c r="M15" s="435" t="str">
        <f>IF(MOD(MATCH(M$6,'Planning data'!$K$3:$K$89,1),2)=0,""," ")</f>
        <v/>
      </c>
      <c r="N15" s="435" t="str">
        <f>IF(MOD(MATCH(N$6,'Planning data'!$K$3:$K$89,1),2)=0,""," ")</f>
        <v/>
      </c>
      <c r="O15" s="435" t="str">
        <f>IF(MOD(MATCH(O$6,'Planning data'!$K$3:$K$89,1),2)=0,""," ")</f>
        <v/>
      </c>
      <c r="P15" s="435" t="str">
        <f>IF(MOD(MATCH(P$6,'Planning data'!$K$3:$K$89,1),2)=0,""," ")</f>
        <v/>
      </c>
      <c r="Q15" s="435" t="str">
        <f>IF(MOD(MATCH(Q$6,'Planning data'!$K$3:$K$89,1),2)=0,""," ")</f>
        <v/>
      </c>
      <c r="R15" s="435" t="str">
        <f>IF(MOD(MATCH(R$6,'Planning data'!$K$3:$K$89,1),2)=0,""," ")</f>
        <v/>
      </c>
      <c r="S15" s="435" t="str">
        <f>IF(MOD(MATCH(S$6,'Planning data'!$K$3:$K$89,1),2)=0,""," ")</f>
        <v/>
      </c>
      <c r="T15" s="435" t="str">
        <f>IF(MOD(MATCH(T$6,'Planning data'!$K$3:$K$89,1),2)=0,""," ")</f>
        <v/>
      </c>
      <c r="U15" s="435" t="str">
        <f>IF(MOD(MATCH(U$6,'Planning data'!$K$3:$K$89,1),2)=0,""," ")</f>
        <v/>
      </c>
      <c r="V15" s="435" t="str">
        <f>IF(MOD(MATCH(V$6,'Planning data'!$K$3:$K$89,1),2)=0,""," ")</f>
        <v/>
      </c>
      <c r="W15" s="435" t="str">
        <f>IF(MOD(MATCH(W$6,'Planning data'!$K$3:$K$89,1),2)=0,""," ")</f>
        <v/>
      </c>
      <c r="X15" s="435" t="str">
        <f>IF(MOD(MATCH(X$6,'Planning data'!$K$3:$K$89,1),2)=0,""," ")</f>
        <v/>
      </c>
      <c r="Y15" s="435" t="str">
        <f>IF(MOD(MATCH(Y$6,'Planning data'!$K$3:$K$89,1),2)=0,""," ")</f>
        <v/>
      </c>
      <c r="Z15" s="435" t="str">
        <f>IF(MOD(MATCH(Z$6,'Planning data'!$K$3:$K$89,1),2)=0,""," ")</f>
        <v/>
      </c>
      <c r="AA15" s="435" t="str">
        <f>IF(MOD(MATCH(AA$6,'Planning data'!$K$3:$K$89,1),2)=0,""," ")</f>
        <v/>
      </c>
      <c r="AB15" s="435" t="str">
        <f>IF(MOD(MATCH(AB$6,'Planning data'!$K$3:$K$89,1),2)=0,""," ")</f>
        <v/>
      </c>
      <c r="AC15" s="435" t="str">
        <f>IF(MOD(MATCH(AC$6,'Planning data'!$K$3:$K$89,1),2)=0,""," ")</f>
        <v/>
      </c>
      <c r="AD15" s="435" t="str">
        <f>IF(MOD(MATCH(AD$6,'Planning data'!$K$3:$K$89,1),2)=0,""," ")</f>
        <v/>
      </c>
      <c r="AE15" s="435" t="str">
        <f>IF(MOD(MATCH(AE$6,'Planning data'!$K$3:$K$89,1),2)=0,""," ")</f>
        <v/>
      </c>
      <c r="AF15" s="435" t="str">
        <f>IF(MOD(MATCH(AF$6,'Planning data'!$K$3:$K$89,1),2)=0,""," ")</f>
        <v/>
      </c>
      <c r="AG15" s="435" t="str">
        <f>IF(MOD(MATCH(AG$6,'Planning data'!$K$3:$K$89,1),2)=0,""," ")</f>
        <v/>
      </c>
      <c r="AH15" s="435" t="str">
        <f>IF(MOD(MATCH(AH$6,'Planning data'!$K$3:$K$89,1),2)=0,""," ")</f>
        <v/>
      </c>
      <c r="AI15" s="435" t="str">
        <f>IF(MOD(MATCH(AI$6,'Planning data'!$K$3:$K$89,1),2)=0,""," ")</f>
        <v/>
      </c>
      <c r="AJ15" s="435" t="str">
        <f>IF(MOD(MATCH(AJ$6,'Planning data'!$K$3:$K$89,1),2)=0,""," ")</f>
        <v/>
      </c>
      <c r="AK15" s="435" t="str">
        <f>IF(MOD(MATCH(AK$6,'Planning data'!$K$3:$K$89,1),2)=0,""," ")</f>
        <v/>
      </c>
      <c r="AL15" s="435" t="str">
        <f>IF(MOD(MATCH(AL$6,'Planning data'!$K$3:$K$89,1),2)=0,""," ")</f>
        <v/>
      </c>
      <c r="AM15" s="435" t="str">
        <f>IF(MOD(MATCH(AM$6,'Planning data'!$K$3:$K$89,1),2)=0,""," ")</f>
        <v/>
      </c>
      <c r="AN15" s="435" t="str">
        <f>IF(MOD(MATCH(AN$6,'Planning data'!$K$3:$K$89,1),2)=0,""," ")</f>
        <v/>
      </c>
      <c r="AO15" s="435" t="str">
        <f>IF(MOD(MATCH(AO$6,'Planning data'!$K$3:$K$89,1),2)=0,""," ")</f>
        <v/>
      </c>
      <c r="AP15" s="435" t="str">
        <f>IF(MOD(MATCH(AP$6,'Planning data'!$K$3:$K$89,1),2)=0,""," ")</f>
        <v/>
      </c>
      <c r="AQ15" s="435" t="str">
        <f>IF(MOD(MATCH(AQ$6,'Planning data'!$K$3:$K$89,1),2)=0,""," ")</f>
        <v/>
      </c>
      <c r="AR15" s="435" t="str">
        <f>IF(MOD(MATCH(AR$6,'Planning data'!$K$3:$K$89,1),2)=0,""," ")</f>
        <v/>
      </c>
      <c r="AS15" s="435" t="str">
        <f>IF(MOD(MATCH(AS$6,'Planning data'!$K$3:$K$89,1),2)=0,""," ")</f>
        <v/>
      </c>
      <c r="AT15" s="435" t="str">
        <f>IF(MOD(MATCH(AT$6,'Planning data'!$K$3:$K$89,1),2)=0,""," ")</f>
        <v/>
      </c>
      <c r="AU15" s="435" t="str">
        <f>IF(MOD(MATCH(AU$6,'Planning data'!$K$3:$K$89,1),2)=0,""," ")</f>
        <v/>
      </c>
      <c r="AV15" s="435" t="str">
        <f>IF(MOD(MATCH(AV$6,'Planning data'!$K$3:$K$89,1),2)=0,""," ")</f>
        <v/>
      </c>
      <c r="AW15" s="435" t="str">
        <f>IF(MOD(MATCH(AW$6,'Planning data'!$K$3:$K$89,1),2)=0,""," ")</f>
        <v/>
      </c>
      <c r="AX15" s="435" t="str">
        <f>IF(MOD(MATCH(AX$6,'Planning data'!$K$3:$K$89,1),2)=0,""," ")</f>
        <v/>
      </c>
      <c r="AY15" s="435" t="str">
        <f>IF(MOD(MATCH(AY$6,'Planning data'!$K$3:$K$89,1),2)=0,""," ")</f>
        <v/>
      </c>
      <c r="AZ15" s="435" t="str">
        <f>IF(MOD(MATCH(AZ$6,'Planning data'!$K$3:$K$89,1),2)=0,""," ")</f>
        <v/>
      </c>
      <c r="BA15" s="435" t="str">
        <f>IF(MOD(MATCH(BA$6,'Planning data'!$K$3:$K$89,1),2)=0,""," ")</f>
        <v/>
      </c>
      <c r="BB15" s="435" t="str">
        <f>IF(MOD(MATCH(BB$6,'Planning data'!$K$3:$K$89,1),2)=0,""," ")</f>
        <v/>
      </c>
      <c r="BC15" s="435" t="str">
        <f>IF(MOD(MATCH(BC$6,'Planning data'!$K$3:$K$89,1),2)=0,""," ")</f>
        <v/>
      </c>
      <c r="BD15" s="435" t="str">
        <f>IF(MOD(MATCH(BD$6,'Planning data'!$K$3:$K$89,1),2)=0,""," ")</f>
        <v/>
      </c>
      <c r="BE15" s="435" t="str">
        <f>IF(MOD(MATCH(BE$6,'Planning data'!$K$3:$K$89,1),2)=0,""," ")</f>
        <v/>
      </c>
      <c r="BF15" s="435" t="str">
        <f>IF(MOD(MATCH(BF$6,'Planning data'!$K$3:$K$89,1),2)=0,""," ")</f>
        <v/>
      </c>
      <c r="BG15" s="435" t="str">
        <f>IF(MOD(MATCH(BG$6,'Planning data'!$K$3:$K$89,1),2)=0,""," ")</f>
        <v/>
      </c>
      <c r="BH15" s="435" t="str">
        <f>IF(MOD(MATCH(BH$6,'Planning data'!$K$3:$K$89,1),2)=0,""," ")</f>
        <v/>
      </c>
      <c r="BI15" s="435" t="str">
        <f>IF(MOD(MATCH(BI$6,'Planning data'!$K$3:$K$89,1),2)=0,""," ")</f>
        <v/>
      </c>
      <c r="BJ15" s="435" t="e">
        <f>IF(MOD(MATCH(BJ$6,'Planning data'!$K$3:$K$89,1),2)=0,""," ")</f>
        <v>#N/A</v>
      </c>
      <c r="BK15" s="435" t="e">
        <f>IF(MOD(MATCH(BK$6,'Planning data'!$K$3:$K$89,1),2)=0,""," ")</f>
        <v>#N/A</v>
      </c>
      <c r="BL15" s="435" t="e">
        <f>IF(MOD(MATCH(BL$6,'Planning data'!$K$3:$K$89,1),2)=0,""," ")</f>
        <v>#N/A</v>
      </c>
      <c r="BM15" s="453"/>
    </row>
    <row r="16" spans="1:65" s="425" customFormat="1" ht="50" customHeight="1" x14ac:dyDescent="0.15">
      <c r="A16" s="448"/>
      <c r="B16" s="468" t="str">
        <f>'Planning data'!L2</f>
        <v>N°9</v>
      </c>
      <c r="C16" s="435" t="str">
        <f>IF(MOD(MATCH(C$6,'Planning data'!$K$3:$K$89,1),2)=0,""," ")</f>
        <v/>
      </c>
      <c r="D16" s="435" t="str">
        <f>IF(MOD(MATCH(D$6,'Planning data'!$K$3:$K$89,1),2)=0,""," ")</f>
        <v/>
      </c>
      <c r="E16" s="435" t="str">
        <f>IF(MOD(MATCH(E$6,'Planning data'!$K$3:$K$89,1),2)=0,""," ")</f>
        <v/>
      </c>
      <c r="F16" s="435" t="str">
        <f>IF(MOD(MATCH(F$6,'Planning data'!$K$3:$K$89,1),2)=0,""," ")</f>
        <v/>
      </c>
      <c r="G16" s="435" t="str">
        <f>IF(MOD(MATCH(G$6,'Planning data'!$K$3:$K$89,1),2)=0,""," ")</f>
        <v/>
      </c>
      <c r="H16" s="435" t="str">
        <f>IF(MOD(MATCH(H$6,'Planning data'!$K$3:$K$89,1),2)=0,""," ")</f>
        <v/>
      </c>
      <c r="I16" s="435" t="str">
        <f>IF(MOD(MATCH(I$6,'Planning data'!$K$3:$K$89,1),2)=0,""," ")</f>
        <v/>
      </c>
      <c r="J16" s="435" t="str">
        <f>IF(MOD(MATCH(J$6,'Planning data'!$K$3:$K$89,1),2)=0,""," ")</f>
        <v/>
      </c>
      <c r="K16" s="435" t="str">
        <f>IF(MOD(MATCH(K$6,'Planning data'!$K$3:$K$89,1),2)=0,""," ")</f>
        <v/>
      </c>
      <c r="L16" s="435" t="str">
        <f>IF(MOD(MATCH(L$6,'Planning data'!$K$3:$K$89,1),2)=0,""," ")</f>
        <v/>
      </c>
      <c r="M16" s="435" t="str">
        <f>IF(MOD(MATCH(M$6,'Planning data'!$K$3:$K$89,1),2)=0,""," ")</f>
        <v/>
      </c>
      <c r="N16" s="435" t="str">
        <f>IF(MOD(MATCH(N$6,'Planning data'!$K$3:$K$89,1),2)=0,""," ")</f>
        <v/>
      </c>
      <c r="O16" s="435" t="str">
        <f>IF(MOD(MATCH(O$6,'Planning data'!$K$3:$K$89,1),2)=0,""," ")</f>
        <v/>
      </c>
      <c r="P16" s="435" t="str">
        <f>IF(MOD(MATCH(P$6,'Planning data'!$K$3:$K$89,1),2)=0,""," ")</f>
        <v/>
      </c>
      <c r="Q16" s="435" t="str">
        <f>IF(MOD(MATCH(Q$6,'Planning data'!$K$3:$K$89,1),2)=0,""," ")</f>
        <v/>
      </c>
      <c r="R16" s="435" t="str">
        <f>IF(MOD(MATCH(R$6,'Planning data'!$K$3:$K$89,1),2)=0,""," ")</f>
        <v/>
      </c>
      <c r="S16" s="435" t="str">
        <f>IF(MOD(MATCH(S$6,'Planning data'!$K$3:$K$89,1),2)=0,""," ")</f>
        <v/>
      </c>
      <c r="T16" s="435" t="str">
        <f>IF(MOD(MATCH(T$6,'Planning data'!$K$3:$K$89,1),2)=0,""," ")</f>
        <v/>
      </c>
      <c r="U16" s="435" t="str">
        <f>IF(MOD(MATCH(U$6,'Planning data'!$K$3:$K$89,1),2)=0,""," ")</f>
        <v/>
      </c>
      <c r="V16" s="435" t="str">
        <f>IF(MOD(MATCH(V$6,'Planning data'!$K$3:$K$89,1),2)=0,""," ")</f>
        <v/>
      </c>
      <c r="W16" s="435" t="str">
        <f>IF(MOD(MATCH(W$6,'Planning data'!$K$3:$K$89,1),2)=0,""," ")</f>
        <v/>
      </c>
      <c r="X16" s="435" t="str">
        <f>IF(MOD(MATCH(X$6,'Planning data'!$K$3:$K$89,1),2)=0,""," ")</f>
        <v/>
      </c>
      <c r="Y16" s="435" t="str">
        <f>IF(MOD(MATCH(Y$6,'Planning data'!$K$3:$K$89,1),2)=0,""," ")</f>
        <v/>
      </c>
      <c r="Z16" s="435" t="str">
        <f>IF(MOD(MATCH(Z$6,'Planning data'!$K$3:$K$89,1),2)=0,""," ")</f>
        <v/>
      </c>
      <c r="AA16" s="435" t="str">
        <f>IF(MOD(MATCH(AA$6,'Planning data'!$K$3:$K$89,1),2)=0,""," ")</f>
        <v/>
      </c>
      <c r="AB16" s="435" t="str">
        <f>IF(MOD(MATCH(AB$6,'Planning data'!$K$3:$K$89,1),2)=0,""," ")</f>
        <v/>
      </c>
      <c r="AC16" s="435" t="str">
        <f>IF(MOD(MATCH(AC$6,'Planning data'!$K$3:$K$89,1),2)=0,""," ")</f>
        <v/>
      </c>
      <c r="AD16" s="435" t="str">
        <f>IF(MOD(MATCH(AD$6,'Planning data'!$K$3:$K$89,1),2)=0,""," ")</f>
        <v/>
      </c>
      <c r="AE16" s="435" t="str">
        <f>IF(MOD(MATCH(AE$6,'Planning data'!$K$3:$K$89,1),2)=0,""," ")</f>
        <v/>
      </c>
      <c r="AF16" s="435" t="str">
        <f>IF(MOD(MATCH(AF$6,'Planning data'!$K$3:$K$89,1),2)=0,""," ")</f>
        <v/>
      </c>
      <c r="AG16" s="435" t="str">
        <f>IF(MOD(MATCH(AG$6,'Planning data'!$K$3:$K$89,1),2)=0,""," ")</f>
        <v/>
      </c>
      <c r="AH16" s="435" t="str">
        <f>IF(MOD(MATCH(AH$6,'Planning data'!$K$3:$K$89,1),2)=0,""," ")</f>
        <v/>
      </c>
      <c r="AI16" s="435" t="str">
        <f>IF(MOD(MATCH(AI$6,'Planning data'!$K$3:$K$89,1),2)=0,""," ")</f>
        <v/>
      </c>
      <c r="AJ16" s="435" t="str">
        <f>IF(MOD(MATCH(AJ$6,'Planning data'!$K$3:$K$89,1),2)=0,""," ")</f>
        <v/>
      </c>
      <c r="AK16" s="435" t="str">
        <f>IF(MOD(MATCH(AK$6,'Planning data'!$K$3:$K$89,1),2)=0,""," ")</f>
        <v/>
      </c>
      <c r="AL16" s="435" t="str">
        <f>IF(MOD(MATCH(AL$6,'Planning data'!$K$3:$K$89,1),2)=0,""," ")</f>
        <v/>
      </c>
      <c r="AM16" s="435" t="str">
        <f>IF(MOD(MATCH(AM$6,'Planning data'!$K$3:$K$89,1),2)=0,""," ")</f>
        <v/>
      </c>
      <c r="AN16" s="435" t="str">
        <f>IF(MOD(MATCH(AN$6,'Planning data'!$K$3:$K$89,1),2)=0,""," ")</f>
        <v/>
      </c>
      <c r="AO16" s="435" t="str">
        <f>IF(MOD(MATCH(AO$6,'Planning data'!$K$3:$K$89,1),2)=0,""," ")</f>
        <v/>
      </c>
      <c r="AP16" s="435" t="str">
        <f>IF(MOD(MATCH(AP$6,'Planning data'!$K$3:$K$89,1),2)=0,""," ")</f>
        <v/>
      </c>
      <c r="AQ16" s="435" t="str">
        <f>IF(MOD(MATCH(AQ$6,'Planning data'!$K$3:$K$89,1),2)=0,""," ")</f>
        <v/>
      </c>
      <c r="AR16" s="435" t="str">
        <f>IF(MOD(MATCH(AR$6,'Planning data'!$K$3:$K$89,1),2)=0,""," ")</f>
        <v/>
      </c>
      <c r="AS16" s="435" t="str">
        <f>IF(MOD(MATCH(AS$6,'Planning data'!$K$3:$K$89,1),2)=0,""," ")</f>
        <v/>
      </c>
      <c r="AT16" s="435" t="str">
        <f>IF(MOD(MATCH(AT$6,'Planning data'!$K$3:$K$89,1),2)=0,""," ")</f>
        <v/>
      </c>
      <c r="AU16" s="435" t="str">
        <f>IF(MOD(MATCH(AU$6,'Planning data'!$K$3:$K$89,1),2)=0,""," ")</f>
        <v/>
      </c>
      <c r="AV16" s="435" t="str">
        <f>IF(MOD(MATCH(AV$6,'Planning data'!$K$3:$K$89,1),2)=0,""," ")</f>
        <v/>
      </c>
      <c r="AW16" s="435" t="str">
        <f>IF(MOD(MATCH(AW$6,'Planning data'!$K$3:$K$89,1),2)=0,""," ")</f>
        <v/>
      </c>
      <c r="AX16" s="435" t="str">
        <f>IF(MOD(MATCH(AX$6,'Planning data'!$K$3:$K$89,1),2)=0,""," ")</f>
        <v/>
      </c>
      <c r="AY16" s="435" t="str">
        <f>IF(MOD(MATCH(AY$6,'Planning data'!$K$3:$K$89,1),2)=0,""," ")</f>
        <v/>
      </c>
      <c r="AZ16" s="435" t="str">
        <f>IF(MOD(MATCH(AZ$6,'Planning data'!$K$3:$K$89,1),2)=0,""," ")</f>
        <v/>
      </c>
      <c r="BA16" s="435" t="str">
        <f>IF(MOD(MATCH(BA$6,'Planning data'!$K$3:$K$89,1),2)=0,""," ")</f>
        <v/>
      </c>
      <c r="BB16" s="435" t="str">
        <f>IF(MOD(MATCH(BB$6,'Planning data'!$K$3:$K$89,1),2)=0,""," ")</f>
        <v/>
      </c>
      <c r="BC16" s="435" t="str">
        <f>IF(MOD(MATCH(BC$6,'Planning data'!$K$3:$K$89,1),2)=0,""," ")</f>
        <v/>
      </c>
      <c r="BD16" s="435" t="str">
        <f>IF(MOD(MATCH(BD$6,'Planning data'!$K$3:$K$89,1),2)=0,""," ")</f>
        <v/>
      </c>
      <c r="BE16" s="435" t="str">
        <f>IF(MOD(MATCH(BE$6,'Planning data'!$K$3:$K$89,1),2)=0,""," ")</f>
        <v/>
      </c>
      <c r="BF16" s="435" t="str">
        <f>IF(MOD(MATCH(BF$6,'Planning data'!$K$3:$K$89,1),2)=0,""," ")</f>
        <v/>
      </c>
      <c r="BG16" s="435" t="str">
        <f>IF(MOD(MATCH(BG$6,'Planning data'!$K$3:$K$89,1),2)=0,""," ")</f>
        <v/>
      </c>
      <c r="BH16" s="435" t="str">
        <f>IF(MOD(MATCH(BH$6,'Planning data'!$K$3:$K$89,1),2)=0,""," ")</f>
        <v/>
      </c>
      <c r="BI16" s="435" t="str">
        <f>IF(MOD(MATCH(BI$6,'Planning data'!$K$3:$K$89,1),2)=0,""," ")</f>
        <v/>
      </c>
      <c r="BJ16" s="435" t="e">
        <f>IF(MOD(MATCH(BJ$6,'Planning data'!$K$3:$K$89,1),2)=0,""," ")</f>
        <v>#N/A</v>
      </c>
      <c r="BK16" s="435" t="e">
        <f>IF(MOD(MATCH(BK$6,'Planning data'!$K$3:$K$89,1),2)=0,""," ")</f>
        <v>#N/A</v>
      </c>
      <c r="BL16" s="435" t="e">
        <f>IF(MOD(MATCH(BL$6,'Planning data'!$K$3:$K$89,1),2)=0,""," ")</f>
        <v>#N/A</v>
      </c>
      <c r="BM16" s="453"/>
    </row>
    <row r="17" spans="1:66" s="425" customFormat="1" ht="50" customHeight="1" x14ac:dyDescent="0.15">
      <c r="A17" s="448"/>
      <c r="B17" s="468" t="str">
        <f>'Planning data'!M2</f>
        <v>N°10</v>
      </c>
      <c r="C17" s="435" t="str">
        <f>IF(MOD(MATCH(C$6,'Planning data'!$K$3:$K$89,1),2)=0,""," ")</f>
        <v/>
      </c>
      <c r="D17" s="435" t="str">
        <f>IF(MOD(MATCH(D$6,'Planning data'!$K$3:$K$89,1),2)=0,""," ")</f>
        <v/>
      </c>
      <c r="E17" s="435" t="str">
        <f>IF(MOD(MATCH(E$6,'Planning data'!$K$3:$K$89,1),2)=0,""," ")</f>
        <v/>
      </c>
      <c r="F17" s="435" t="str">
        <f>IF(MOD(MATCH(F$6,'Planning data'!$K$3:$K$89,1),2)=0,""," ")</f>
        <v/>
      </c>
      <c r="G17" s="435" t="str">
        <f>IF(MOD(MATCH(G$6,'Planning data'!$K$3:$K$89,1),2)=0,""," ")</f>
        <v/>
      </c>
      <c r="H17" s="435" t="str">
        <f>IF(MOD(MATCH(H$6,'Planning data'!$K$3:$K$89,1),2)=0,""," ")</f>
        <v/>
      </c>
      <c r="I17" s="435" t="str">
        <f>IF(MOD(MATCH(I$6,'Planning data'!$K$3:$K$89,1),2)=0,""," ")</f>
        <v/>
      </c>
      <c r="J17" s="435" t="str">
        <f>IF(MOD(MATCH(J$6,'Planning data'!$K$3:$K$89,1),2)=0,""," ")</f>
        <v/>
      </c>
      <c r="K17" s="435" t="str">
        <f>IF(MOD(MATCH(K$6,'Planning data'!$K$3:$K$89,1),2)=0,""," ")</f>
        <v/>
      </c>
      <c r="L17" s="435" t="str">
        <f>IF(MOD(MATCH(L$6,'Planning data'!$K$3:$K$89,1),2)=0,""," ")</f>
        <v/>
      </c>
      <c r="M17" s="435" t="str">
        <f>IF(MOD(MATCH(M$6,'Planning data'!$K$3:$K$89,1),2)=0,""," ")</f>
        <v/>
      </c>
      <c r="N17" s="435" t="str">
        <f>IF(MOD(MATCH(N$6,'Planning data'!$K$3:$K$89,1),2)=0,""," ")</f>
        <v/>
      </c>
      <c r="O17" s="435" t="str">
        <f>IF(MOD(MATCH(O$6,'Planning data'!$K$3:$K$89,1),2)=0,""," ")</f>
        <v/>
      </c>
      <c r="P17" s="435" t="str">
        <f>IF(MOD(MATCH(P$6,'Planning data'!$K$3:$K$89,1),2)=0,""," ")</f>
        <v/>
      </c>
      <c r="Q17" s="435" t="str">
        <f>IF(MOD(MATCH(Q$6,'Planning data'!$K$3:$K$89,1),2)=0,""," ")</f>
        <v/>
      </c>
      <c r="R17" s="435" t="str">
        <f>IF(MOD(MATCH(R$6,'Planning data'!$K$3:$K$89,1),2)=0,""," ")</f>
        <v/>
      </c>
      <c r="S17" s="435" t="str">
        <f>IF(MOD(MATCH(S$6,'Planning data'!$K$3:$K$89,1),2)=0,""," ")</f>
        <v/>
      </c>
      <c r="T17" s="435" t="str">
        <f>IF(MOD(MATCH(T$6,'Planning data'!$K$3:$K$89,1),2)=0,""," ")</f>
        <v/>
      </c>
      <c r="U17" s="435" t="str">
        <f>IF(MOD(MATCH(U$6,'Planning data'!$K$3:$K$89,1),2)=0,""," ")</f>
        <v/>
      </c>
      <c r="V17" s="435" t="str">
        <f>IF(MOD(MATCH(V$6,'Planning data'!$K$3:$K$89,1),2)=0,""," ")</f>
        <v/>
      </c>
      <c r="W17" s="435" t="str">
        <f>IF(MOD(MATCH(W$6,'Planning data'!$K$3:$K$89,1),2)=0,""," ")</f>
        <v/>
      </c>
      <c r="X17" s="435" t="str">
        <f>IF(MOD(MATCH(X$6,'Planning data'!$K$3:$K$89,1),2)=0,""," ")</f>
        <v/>
      </c>
      <c r="Y17" s="435" t="str">
        <f>IF(MOD(MATCH(Y$6,'Planning data'!$K$3:$K$89,1),2)=0,""," ")</f>
        <v/>
      </c>
      <c r="Z17" s="435" t="str">
        <f>IF(MOD(MATCH(Z$6,'Planning data'!$K$3:$K$89,1),2)=0,""," ")</f>
        <v/>
      </c>
      <c r="AA17" s="435" t="str">
        <f>IF(MOD(MATCH(AA$6,'Planning data'!$K$3:$K$89,1),2)=0,""," ")</f>
        <v/>
      </c>
      <c r="AB17" s="435" t="str">
        <f>IF(MOD(MATCH(AB$6,'Planning data'!$K$3:$K$89,1),2)=0,""," ")</f>
        <v/>
      </c>
      <c r="AC17" s="435" t="str">
        <f>IF(MOD(MATCH(AC$6,'Planning data'!$K$3:$K$89,1),2)=0,""," ")</f>
        <v/>
      </c>
      <c r="AD17" s="435" t="str">
        <f>IF(MOD(MATCH(AD$6,'Planning data'!$K$3:$K$89,1),2)=0,""," ")</f>
        <v/>
      </c>
      <c r="AE17" s="435" t="str">
        <f>IF(MOD(MATCH(AE$6,'Planning data'!$K$3:$K$89,1),2)=0,""," ")</f>
        <v/>
      </c>
      <c r="AF17" s="435" t="str">
        <f>IF(MOD(MATCH(AF$6,'Planning data'!$K$3:$K$89,1),2)=0,""," ")</f>
        <v/>
      </c>
      <c r="AG17" s="435" t="str">
        <f>IF(MOD(MATCH(AG$6,'Planning data'!$K$3:$K$89,1),2)=0,""," ")</f>
        <v/>
      </c>
      <c r="AH17" s="435" t="str">
        <f>IF(MOD(MATCH(AH$6,'Planning data'!$K$3:$K$89,1),2)=0,""," ")</f>
        <v/>
      </c>
      <c r="AI17" s="435" t="str">
        <f>IF(MOD(MATCH(AI$6,'Planning data'!$K$3:$K$89,1),2)=0,""," ")</f>
        <v/>
      </c>
      <c r="AJ17" s="435" t="str">
        <f>IF(MOD(MATCH(AJ$6,'Planning data'!$K$3:$K$89,1),2)=0,""," ")</f>
        <v/>
      </c>
      <c r="AK17" s="435" t="str">
        <f>IF(MOD(MATCH(AK$6,'Planning data'!$K$3:$K$89,1),2)=0,""," ")</f>
        <v/>
      </c>
      <c r="AL17" s="435" t="str">
        <f>IF(MOD(MATCH(AL$6,'Planning data'!$K$3:$K$89,1),2)=0,""," ")</f>
        <v/>
      </c>
      <c r="AM17" s="435" t="str">
        <f>IF(MOD(MATCH(AM$6,'Planning data'!$K$3:$K$89,1),2)=0,""," ")</f>
        <v/>
      </c>
      <c r="AN17" s="435" t="str">
        <f>IF(MOD(MATCH(AN$6,'Planning data'!$K$3:$K$89,1),2)=0,""," ")</f>
        <v/>
      </c>
      <c r="AO17" s="435" t="str">
        <f>IF(MOD(MATCH(AO$6,'Planning data'!$K$3:$K$89,1),2)=0,""," ")</f>
        <v/>
      </c>
      <c r="AP17" s="435" t="str">
        <f>IF(MOD(MATCH(AP$6,'Planning data'!$K$3:$K$89,1),2)=0,""," ")</f>
        <v/>
      </c>
      <c r="AQ17" s="435" t="str">
        <f>IF(MOD(MATCH(AQ$6,'Planning data'!$K$3:$K$89,1),2)=0,""," ")</f>
        <v/>
      </c>
      <c r="AR17" s="435" t="str">
        <f>IF(MOD(MATCH(AR$6,'Planning data'!$K$3:$K$89,1),2)=0,""," ")</f>
        <v/>
      </c>
      <c r="AS17" s="435" t="str">
        <f>IF(MOD(MATCH(AS$6,'Planning data'!$K$3:$K$89,1),2)=0,""," ")</f>
        <v/>
      </c>
      <c r="AT17" s="435" t="str">
        <f>IF(MOD(MATCH(AT$6,'Planning data'!$K$3:$K$89,1),2)=0,""," ")</f>
        <v/>
      </c>
      <c r="AU17" s="435" t="str">
        <f>IF(MOD(MATCH(AU$6,'Planning data'!$K$3:$K$89,1),2)=0,""," ")</f>
        <v/>
      </c>
      <c r="AV17" s="435" t="str">
        <f>IF(MOD(MATCH(AV$6,'Planning data'!$K$3:$K$89,1),2)=0,""," ")</f>
        <v/>
      </c>
      <c r="AW17" s="435" t="str">
        <f>IF(MOD(MATCH(AW$6,'Planning data'!$K$3:$K$89,1),2)=0,""," ")</f>
        <v/>
      </c>
      <c r="AX17" s="435" t="str">
        <f>IF(MOD(MATCH(AX$6,'Planning data'!$K$3:$K$89,1),2)=0,""," ")</f>
        <v/>
      </c>
      <c r="AY17" s="435" t="str">
        <f>IF(MOD(MATCH(AY$6,'Planning data'!$K$3:$K$89,1),2)=0,""," ")</f>
        <v/>
      </c>
      <c r="AZ17" s="435" t="str">
        <f>IF(MOD(MATCH(AZ$6,'Planning data'!$K$3:$K$89,1),2)=0,""," ")</f>
        <v/>
      </c>
      <c r="BA17" s="435" t="str">
        <f>IF(MOD(MATCH(BA$6,'Planning data'!$K$3:$K$89,1),2)=0,""," ")</f>
        <v/>
      </c>
      <c r="BB17" s="435" t="str">
        <f>IF(MOD(MATCH(BB$6,'Planning data'!$K$3:$K$89,1),2)=0,""," ")</f>
        <v/>
      </c>
      <c r="BC17" s="435" t="str">
        <f>IF(MOD(MATCH(BC$6,'Planning data'!$K$3:$K$89,1),2)=0,""," ")</f>
        <v/>
      </c>
      <c r="BD17" s="435" t="str">
        <f>IF(MOD(MATCH(BD$6,'Planning data'!$K$3:$K$89,1),2)=0,""," ")</f>
        <v/>
      </c>
      <c r="BE17" s="435" t="str">
        <f>IF(MOD(MATCH(BE$6,'Planning data'!$K$3:$K$89,1),2)=0,""," ")</f>
        <v/>
      </c>
      <c r="BF17" s="435" t="str">
        <f>IF(MOD(MATCH(BF$6,'Planning data'!$K$3:$K$89,1),2)=0,""," ")</f>
        <v/>
      </c>
      <c r="BG17" s="435" t="str">
        <f>IF(MOD(MATCH(BG$6,'Planning data'!$K$3:$K$89,1),2)=0,""," ")</f>
        <v/>
      </c>
      <c r="BH17" s="435" t="str">
        <f>IF(MOD(MATCH(BH$6,'Planning data'!$K$3:$K$89,1),2)=0,""," ")</f>
        <v/>
      </c>
      <c r="BI17" s="435" t="str">
        <f>IF(MOD(MATCH(BI$6,'Planning data'!$K$3:$K$89,1),2)=0,""," ")</f>
        <v/>
      </c>
      <c r="BJ17" s="435" t="e">
        <f>IF(MOD(MATCH(BJ$6,'Planning data'!$K$3:$K$89,1),2)=0,""," ")</f>
        <v>#N/A</v>
      </c>
      <c r="BK17" s="435" t="e">
        <f>IF(MOD(MATCH(BK$6,'Planning data'!$K$3:$K$89,1),2)=0,""," ")</f>
        <v>#N/A</v>
      </c>
      <c r="BL17" s="435" t="e">
        <f>IF(MOD(MATCH(BL$6,'Planning data'!$K$3:$K$89,1),2)=0,""," ")</f>
        <v>#N/A</v>
      </c>
      <c r="BM17" s="453"/>
    </row>
    <row r="18" spans="1:66" s="425" customFormat="1" ht="50" customHeight="1" x14ac:dyDescent="0.15">
      <c r="A18" s="448"/>
      <c r="B18" s="468" t="str">
        <f>'Planning data'!N2</f>
        <v>N°11</v>
      </c>
      <c r="C18" s="435" t="str">
        <f>IF(MOD(MATCH(C$6,'Planning data'!$L$3:$L$89,1),2)=0,""," ")</f>
        <v/>
      </c>
      <c r="D18" s="435" t="str">
        <f>IF(MOD(MATCH(D$6,'Planning data'!$L$3:$L$89,1),2)=0,""," ")</f>
        <v/>
      </c>
      <c r="E18" s="435" t="str">
        <f>IF(MOD(MATCH(E$6,'Planning data'!$L$3:$L$89,1),2)=0,""," ")</f>
        <v/>
      </c>
      <c r="F18" s="435" t="str">
        <f>IF(MOD(MATCH(F$6,'Planning data'!$L$3:$L$89,1),2)=0,""," ")</f>
        <v/>
      </c>
      <c r="G18" s="435" t="str">
        <f>IF(MOD(MATCH(G$6,'Planning data'!$L$3:$L$89,1),2)=0,""," ")</f>
        <v/>
      </c>
      <c r="H18" s="435" t="str">
        <f>IF(MOD(MATCH(H$6,'Planning data'!$L$3:$L$89,1),2)=0,""," ")</f>
        <v/>
      </c>
      <c r="I18" s="435" t="str">
        <f>IF(MOD(MATCH(I$6,'Planning data'!$L$3:$L$89,1),2)=0,""," ")</f>
        <v/>
      </c>
      <c r="J18" s="435" t="str">
        <f>IF(MOD(MATCH(J$6,'Planning data'!$L$3:$L$89,1),2)=0,""," ")</f>
        <v/>
      </c>
      <c r="K18" s="435" t="str">
        <f>IF(MOD(MATCH(K$6,'Planning data'!$L$3:$L$89,1),2)=0,""," ")</f>
        <v/>
      </c>
      <c r="L18" s="435" t="str">
        <f>IF(MOD(MATCH(L$6,'Planning data'!$L$3:$L$89,1),2)=0,""," ")</f>
        <v/>
      </c>
      <c r="M18" s="435" t="str">
        <f>IF(MOD(MATCH(M$6,'Planning data'!$L$3:$L$89,1),2)=0,""," ")</f>
        <v/>
      </c>
      <c r="N18" s="435" t="str">
        <f>IF(MOD(MATCH(N$6,'Planning data'!$L$3:$L$89,1),2)=0,""," ")</f>
        <v/>
      </c>
      <c r="O18" s="435" t="str">
        <f>IF(MOD(MATCH(O$6,'Planning data'!$L$3:$L$89,1),2)=0,""," ")</f>
        <v/>
      </c>
      <c r="P18" s="435" t="str">
        <f>IF(MOD(MATCH(P$6,'Planning data'!$L$3:$L$89,1),2)=0,""," ")</f>
        <v/>
      </c>
      <c r="Q18" s="435" t="str">
        <f>IF(MOD(MATCH(Q$6,'Planning data'!$L$3:$L$89,1),2)=0,""," ")</f>
        <v/>
      </c>
      <c r="R18" s="435" t="str">
        <f>IF(MOD(MATCH(R$6,'Planning data'!$L$3:$L$89,1),2)=0,""," ")</f>
        <v/>
      </c>
      <c r="S18" s="435" t="str">
        <f>IF(MOD(MATCH(S$6,'Planning data'!$L$3:$L$89,1),2)=0,""," ")</f>
        <v/>
      </c>
      <c r="T18" s="435" t="str">
        <f>IF(MOD(MATCH(T$6,'Planning data'!$L$3:$L$89,1),2)=0,""," ")</f>
        <v/>
      </c>
      <c r="U18" s="435" t="str">
        <f>IF(MOD(MATCH(U$6,'Planning data'!$L$3:$L$89,1),2)=0,""," ")</f>
        <v/>
      </c>
      <c r="V18" s="435" t="str">
        <f>IF(MOD(MATCH(V$6,'Planning data'!$L$3:$L$89,1),2)=0,""," ")</f>
        <v/>
      </c>
      <c r="W18" s="435" t="str">
        <f>IF(MOD(MATCH(W$6,'Planning data'!$L$3:$L$89,1),2)=0,""," ")</f>
        <v/>
      </c>
      <c r="X18" s="435" t="str">
        <f>IF(MOD(MATCH(X$6,'Planning data'!$L$3:$L$89,1),2)=0,""," ")</f>
        <v/>
      </c>
      <c r="Y18" s="435" t="str">
        <f>IF(MOD(MATCH(Y$6,'Planning data'!$L$3:$L$89,1),2)=0,""," ")</f>
        <v/>
      </c>
      <c r="Z18" s="435" t="str">
        <f>IF(MOD(MATCH(Z$6,'Planning data'!$L$3:$L$89,1),2)=0,""," ")</f>
        <v/>
      </c>
      <c r="AA18" s="435" t="str">
        <f>IF(MOD(MATCH(AA$6,'Planning data'!$L$3:$L$89,1),2)=0,""," ")</f>
        <v/>
      </c>
      <c r="AB18" s="435" t="str">
        <f>IF(MOD(MATCH(AB$6,'Planning data'!$L$3:$L$89,1),2)=0,""," ")</f>
        <v/>
      </c>
      <c r="AC18" s="435" t="str">
        <f>IF(MOD(MATCH(AC$6,'Planning data'!$L$3:$L$89,1),2)=0,""," ")</f>
        <v/>
      </c>
      <c r="AD18" s="435" t="str">
        <f>IF(MOD(MATCH(AD$6,'Planning data'!$L$3:$L$89,1),2)=0,""," ")</f>
        <v/>
      </c>
      <c r="AE18" s="435" t="str">
        <f>IF(MOD(MATCH(AE$6,'Planning data'!$L$3:$L$89,1),2)=0,""," ")</f>
        <v/>
      </c>
      <c r="AF18" s="435" t="str">
        <f>IF(MOD(MATCH(AF$6,'Planning data'!$L$3:$L$89,1),2)=0,""," ")</f>
        <v/>
      </c>
      <c r="AG18" s="435" t="str">
        <f>IF(MOD(MATCH(AG$6,'Planning data'!$L$3:$L$89,1),2)=0,""," ")</f>
        <v/>
      </c>
      <c r="AH18" s="435" t="str">
        <f>IF(MOD(MATCH(AH$6,'Planning data'!$L$3:$L$89,1),2)=0,""," ")</f>
        <v/>
      </c>
      <c r="AI18" s="435" t="str">
        <f>IF(MOD(MATCH(AI$6,'Planning data'!$L$3:$L$89,1),2)=0,""," ")</f>
        <v/>
      </c>
      <c r="AJ18" s="435" t="str">
        <f>IF(MOD(MATCH(AJ$6,'Planning data'!$L$3:$L$89,1),2)=0,""," ")</f>
        <v/>
      </c>
      <c r="AK18" s="435" t="str">
        <f>IF(MOD(MATCH(AK$6,'Planning data'!$L$3:$L$89,1),2)=0,""," ")</f>
        <v/>
      </c>
      <c r="AL18" s="435" t="str">
        <f>IF(MOD(MATCH(AL$6,'Planning data'!$L$3:$L$89,1),2)=0,""," ")</f>
        <v/>
      </c>
      <c r="AM18" s="435" t="str">
        <f>IF(MOD(MATCH(AM$6,'Planning data'!$L$3:$L$89,1),2)=0,""," ")</f>
        <v/>
      </c>
      <c r="AN18" s="435" t="str">
        <f>IF(MOD(MATCH(AN$6,'Planning data'!$L$3:$L$89,1),2)=0,""," ")</f>
        <v/>
      </c>
      <c r="AO18" s="435" t="str">
        <f>IF(MOD(MATCH(AO$6,'Planning data'!$L$3:$L$89,1),2)=0,""," ")</f>
        <v/>
      </c>
      <c r="AP18" s="435" t="str">
        <f>IF(MOD(MATCH(AP$6,'Planning data'!$L$3:$L$89,1),2)=0,""," ")</f>
        <v/>
      </c>
      <c r="AQ18" s="435" t="str">
        <f>IF(MOD(MATCH(AQ$6,'Planning data'!$L$3:$L$89,1),2)=0,""," ")</f>
        <v/>
      </c>
      <c r="AR18" s="435" t="str">
        <f>IF(MOD(MATCH(AR$6,'Planning data'!$L$3:$L$89,1),2)=0,""," ")</f>
        <v/>
      </c>
      <c r="AS18" s="435" t="str">
        <f>IF(MOD(MATCH(AS$6,'Planning data'!$L$3:$L$89,1),2)=0,""," ")</f>
        <v/>
      </c>
      <c r="AT18" s="435" t="str">
        <f>IF(MOD(MATCH(AT$6,'Planning data'!$L$3:$L$89,1),2)=0,""," ")</f>
        <v/>
      </c>
      <c r="AU18" s="435" t="str">
        <f>IF(MOD(MATCH(AU$6,'Planning data'!$L$3:$L$89,1),2)=0,""," ")</f>
        <v/>
      </c>
      <c r="AV18" s="435" t="str">
        <f>IF(MOD(MATCH(AV$6,'Planning data'!$L$3:$L$89,1),2)=0,""," ")</f>
        <v/>
      </c>
      <c r="AW18" s="435" t="str">
        <f>IF(MOD(MATCH(AW$6,'Planning data'!$L$3:$L$89,1),2)=0,""," ")</f>
        <v/>
      </c>
      <c r="AX18" s="435" t="str">
        <f>IF(MOD(MATCH(AX$6,'Planning data'!$L$3:$L$89,1),2)=0,""," ")</f>
        <v/>
      </c>
      <c r="AY18" s="435" t="str">
        <f>IF(MOD(MATCH(AY$6,'Planning data'!$L$3:$L$89,1),2)=0,""," ")</f>
        <v/>
      </c>
      <c r="AZ18" s="435" t="str">
        <f>IF(MOD(MATCH(AZ$6,'Planning data'!$L$3:$L$89,1),2)=0,""," ")</f>
        <v/>
      </c>
      <c r="BA18" s="435" t="str">
        <f>IF(MOD(MATCH(BA$6,'Planning data'!$L$3:$L$89,1),2)=0,""," ")</f>
        <v/>
      </c>
      <c r="BB18" s="435" t="str">
        <f>IF(MOD(MATCH(BB$6,'Planning data'!$L$3:$L$89,1),2)=0,""," ")</f>
        <v/>
      </c>
      <c r="BC18" s="435" t="str">
        <f>IF(MOD(MATCH(BC$6,'Planning data'!$L$3:$L$89,1),2)=0,""," ")</f>
        <v/>
      </c>
      <c r="BD18" s="435" t="str">
        <f>IF(MOD(MATCH(BD$6,'Planning data'!$L$3:$L$89,1),2)=0,""," ")</f>
        <v/>
      </c>
      <c r="BE18" s="435" t="str">
        <f>IF(MOD(MATCH(BE$6,'Planning data'!$L$3:$L$89,1),2)=0,""," ")</f>
        <v/>
      </c>
      <c r="BF18" s="435" t="str">
        <f>IF(MOD(MATCH(BF$6,'Planning data'!$L$3:$L$89,1),2)=0,""," ")</f>
        <v/>
      </c>
      <c r="BG18" s="435" t="str">
        <f>IF(MOD(MATCH(BG$6,'Planning data'!$L$3:$L$89,1),2)=0,""," ")</f>
        <v/>
      </c>
      <c r="BH18" s="435" t="str">
        <f>IF(MOD(MATCH(BH$6,'Planning data'!$L$3:$L$89,1),2)=0,""," ")</f>
        <v/>
      </c>
      <c r="BI18" s="435" t="str">
        <f>IF(MOD(MATCH(BI$6,'Planning data'!$L$3:$L$89,1),2)=0,""," ")</f>
        <v/>
      </c>
      <c r="BJ18" s="435" t="e">
        <f>IF(MOD(MATCH(BJ$6,'Planning data'!$L$3:$L$89,1),2)=0,""," ")</f>
        <v>#N/A</v>
      </c>
      <c r="BK18" s="435" t="e">
        <f>IF(MOD(MATCH(BK$6,'Planning data'!$L$3:$L$89,1),2)=0,""," ")</f>
        <v>#N/A</v>
      </c>
      <c r="BL18" s="435" t="e">
        <f>IF(MOD(MATCH(BL$6,'Planning data'!$L$3:$L$89,1),2)=0,""," ")</f>
        <v>#N/A</v>
      </c>
      <c r="BM18" s="453"/>
    </row>
    <row r="19" spans="1:66" s="425" customFormat="1" ht="50" customHeight="1" x14ac:dyDescent="0.15">
      <c r="A19" s="448"/>
      <c r="B19" s="468" t="str">
        <f>'Planning data'!O2</f>
        <v>N°12</v>
      </c>
      <c r="C19" s="435" t="str">
        <f>IF(MOD(MATCH(C$6,'Planning data'!$M$3:$M$89,1),2)=0,""," ")</f>
        <v/>
      </c>
      <c r="D19" s="435" t="str">
        <f>IF(MOD(MATCH(D$6,'Planning data'!$M$3:$M$89,1),2)=0,""," ")</f>
        <v/>
      </c>
      <c r="E19" s="435" t="str">
        <f>IF(MOD(MATCH(E$6,'Planning data'!$M$3:$M$89,1),2)=0,""," ")</f>
        <v/>
      </c>
      <c r="F19" s="435" t="str">
        <f>IF(MOD(MATCH(F$6,'Planning data'!$M$3:$M$89,1),2)=0,""," ")</f>
        <v/>
      </c>
      <c r="G19" s="435" t="str">
        <f>IF(MOD(MATCH(G$6,'Planning data'!$M$3:$M$89,1),2)=0,""," ")</f>
        <v/>
      </c>
      <c r="H19" s="435" t="str">
        <f>IF(MOD(MATCH(H$6,'Planning data'!$M$3:$M$89,1),2)=0,""," ")</f>
        <v/>
      </c>
      <c r="I19" s="435" t="str">
        <f>IF(MOD(MATCH(I$6,'Planning data'!$M$3:$M$89,1),2)=0,""," ")</f>
        <v/>
      </c>
      <c r="J19" s="435" t="str">
        <f>IF(MOD(MATCH(J$6,'Planning data'!$M$3:$M$89,1),2)=0,""," ")</f>
        <v/>
      </c>
      <c r="K19" s="435" t="str">
        <f>IF(MOD(MATCH(K$6,'Planning data'!$M$3:$M$89,1),2)=0,""," ")</f>
        <v/>
      </c>
      <c r="L19" s="435" t="str">
        <f>IF(MOD(MATCH(L$6,'Planning data'!$M$3:$M$89,1),2)=0,""," ")</f>
        <v/>
      </c>
      <c r="M19" s="435" t="str">
        <f>IF(MOD(MATCH(M$6,'Planning data'!$M$3:$M$89,1),2)=0,""," ")</f>
        <v/>
      </c>
      <c r="N19" s="435" t="str">
        <f>IF(MOD(MATCH(N$6,'Planning data'!$M$3:$M$89,1),2)=0,""," ")</f>
        <v/>
      </c>
      <c r="O19" s="435" t="str">
        <f>IF(MOD(MATCH(O$6,'Planning data'!$M$3:$M$89,1),2)=0,""," ")</f>
        <v/>
      </c>
      <c r="P19" s="435" t="str">
        <f>IF(MOD(MATCH(P$6,'Planning data'!$M$3:$M$89,1),2)=0,""," ")</f>
        <v/>
      </c>
      <c r="Q19" s="435" t="str">
        <f>IF(MOD(MATCH(Q$6,'Planning data'!$M$3:$M$89,1),2)=0,""," ")</f>
        <v/>
      </c>
      <c r="R19" s="435" t="str">
        <f>IF(MOD(MATCH(R$6,'Planning data'!$M$3:$M$89,1),2)=0,""," ")</f>
        <v/>
      </c>
      <c r="S19" s="435" t="str">
        <f>IF(MOD(MATCH(S$6,'Planning data'!$M$3:$M$89,1),2)=0,""," ")</f>
        <v/>
      </c>
      <c r="T19" s="435" t="str">
        <f>IF(MOD(MATCH(T$6,'Planning data'!$M$3:$M$89,1),2)=0,""," ")</f>
        <v/>
      </c>
      <c r="U19" s="435" t="str">
        <f>IF(MOD(MATCH(U$6,'Planning data'!$M$3:$M$89,1),2)=0,""," ")</f>
        <v/>
      </c>
      <c r="V19" s="435" t="str">
        <f>IF(MOD(MATCH(V$6,'Planning data'!$M$3:$M$89,1),2)=0,""," ")</f>
        <v/>
      </c>
      <c r="W19" s="435" t="str">
        <f>IF(MOD(MATCH(W$6,'Planning data'!$M$3:$M$89,1),2)=0,""," ")</f>
        <v/>
      </c>
      <c r="X19" s="435" t="str">
        <f>IF(MOD(MATCH(X$6,'Planning data'!$M$3:$M$89,1),2)=0,""," ")</f>
        <v/>
      </c>
      <c r="Y19" s="435" t="str">
        <f>IF(MOD(MATCH(Y$6,'Planning data'!$M$3:$M$89,1),2)=0,""," ")</f>
        <v/>
      </c>
      <c r="Z19" s="435" t="str">
        <f>IF(MOD(MATCH(Z$6,'Planning data'!$M$3:$M$89,1),2)=0,""," ")</f>
        <v/>
      </c>
      <c r="AA19" s="435" t="str">
        <f>IF(MOD(MATCH(AA$6,'Planning data'!$M$3:$M$89,1),2)=0,""," ")</f>
        <v/>
      </c>
      <c r="AB19" s="435" t="str">
        <f>IF(MOD(MATCH(AB$6,'Planning data'!$M$3:$M$89,1),2)=0,""," ")</f>
        <v/>
      </c>
      <c r="AC19" s="435" t="str">
        <f>IF(MOD(MATCH(AC$6,'Planning data'!$M$3:$M$89,1),2)=0,""," ")</f>
        <v/>
      </c>
      <c r="AD19" s="435" t="str">
        <f>IF(MOD(MATCH(AD$6,'Planning data'!$M$3:$M$89,1),2)=0,""," ")</f>
        <v/>
      </c>
      <c r="AE19" s="435" t="str">
        <f>IF(MOD(MATCH(AE$6,'Planning data'!$M$3:$M$89,1),2)=0,""," ")</f>
        <v/>
      </c>
      <c r="AF19" s="435" t="str">
        <f>IF(MOD(MATCH(AF$6,'Planning data'!$M$3:$M$89,1),2)=0,""," ")</f>
        <v/>
      </c>
      <c r="AG19" s="435" t="str">
        <f>IF(MOD(MATCH(AG$6,'Planning data'!$M$3:$M$89,1),2)=0,""," ")</f>
        <v/>
      </c>
      <c r="AH19" s="435" t="str">
        <f>IF(MOD(MATCH(AH$6,'Planning data'!$M$3:$M$89,1),2)=0,""," ")</f>
        <v/>
      </c>
      <c r="AI19" s="435" t="str">
        <f>IF(MOD(MATCH(AI$6,'Planning data'!$M$3:$M$89,1),2)=0,""," ")</f>
        <v/>
      </c>
      <c r="AJ19" s="435" t="str">
        <f>IF(MOD(MATCH(AJ$6,'Planning data'!$M$3:$M$89,1),2)=0,""," ")</f>
        <v/>
      </c>
      <c r="AK19" s="435" t="str">
        <f>IF(MOD(MATCH(AK$6,'Planning data'!$M$3:$M$89,1),2)=0,""," ")</f>
        <v/>
      </c>
      <c r="AL19" s="435" t="str">
        <f>IF(MOD(MATCH(AL$6,'Planning data'!$M$3:$M$89,1),2)=0,""," ")</f>
        <v/>
      </c>
      <c r="AM19" s="435" t="str">
        <f>IF(MOD(MATCH(AM$6,'Planning data'!$M$3:$M$89,1),2)=0,""," ")</f>
        <v/>
      </c>
      <c r="AN19" s="435" t="str">
        <f>IF(MOD(MATCH(AN$6,'Planning data'!$M$3:$M$89,1),2)=0,""," ")</f>
        <v/>
      </c>
      <c r="AO19" s="435" t="str">
        <f>IF(MOD(MATCH(AO$6,'Planning data'!$M$3:$M$89,1),2)=0,""," ")</f>
        <v/>
      </c>
      <c r="AP19" s="435" t="str">
        <f>IF(MOD(MATCH(AP$6,'Planning data'!$M$3:$M$89,1),2)=0,""," ")</f>
        <v/>
      </c>
      <c r="AQ19" s="435" t="str">
        <f>IF(MOD(MATCH(AQ$6,'Planning data'!$M$3:$M$89,1),2)=0,""," ")</f>
        <v/>
      </c>
      <c r="AR19" s="435" t="str">
        <f>IF(MOD(MATCH(AR$6,'Planning data'!$M$3:$M$89,1),2)=0,""," ")</f>
        <v/>
      </c>
      <c r="AS19" s="435" t="str">
        <f>IF(MOD(MATCH(AS$6,'Planning data'!$M$3:$M$89,1),2)=0,""," ")</f>
        <v/>
      </c>
      <c r="AT19" s="435" t="str">
        <f>IF(MOD(MATCH(AT$6,'Planning data'!$M$3:$M$89,1),2)=0,""," ")</f>
        <v/>
      </c>
      <c r="AU19" s="435" t="str">
        <f>IF(MOD(MATCH(AU$6,'Planning data'!$M$3:$M$89,1),2)=0,""," ")</f>
        <v/>
      </c>
      <c r="AV19" s="435" t="str">
        <f>IF(MOD(MATCH(AV$6,'Planning data'!$M$3:$M$89,1),2)=0,""," ")</f>
        <v/>
      </c>
      <c r="AW19" s="435" t="str">
        <f>IF(MOD(MATCH(AW$6,'Planning data'!$M$3:$M$89,1),2)=0,""," ")</f>
        <v/>
      </c>
      <c r="AX19" s="435" t="str">
        <f>IF(MOD(MATCH(AX$6,'Planning data'!$M$3:$M$89,1),2)=0,""," ")</f>
        <v/>
      </c>
      <c r="AY19" s="435" t="str">
        <f>IF(MOD(MATCH(AY$6,'Planning data'!$M$3:$M$89,1),2)=0,""," ")</f>
        <v/>
      </c>
      <c r="AZ19" s="435" t="str">
        <f>IF(MOD(MATCH(AZ$6,'Planning data'!$M$3:$M$89,1),2)=0,""," ")</f>
        <v/>
      </c>
      <c r="BA19" s="435" t="str">
        <f>IF(MOD(MATCH(BA$6,'Planning data'!$M$3:$M$89,1),2)=0,""," ")</f>
        <v/>
      </c>
      <c r="BB19" s="435" t="str">
        <f>IF(MOD(MATCH(BB$6,'Planning data'!$M$3:$M$89,1),2)=0,""," ")</f>
        <v/>
      </c>
      <c r="BC19" s="435" t="str">
        <f>IF(MOD(MATCH(BC$6,'Planning data'!$M$3:$M$89,1),2)=0,""," ")</f>
        <v/>
      </c>
      <c r="BD19" s="435" t="str">
        <f>IF(MOD(MATCH(BD$6,'Planning data'!$M$3:$M$89,1),2)=0,""," ")</f>
        <v/>
      </c>
      <c r="BE19" s="435" t="str">
        <f>IF(MOD(MATCH(BE$6,'Planning data'!$M$3:$M$89,1),2)=0,""," ")</f>
        <v/>
      </c>
      <c r="BF19" s="435" t="str">
        <f>IF(MOD(MATCH(BF$6,'Planning data'!$M$3:$M$89,1),2)=0,""," ")</f>
        <v/>
      </c>
      <c r="BG19" s="435" t="str">
        <f>IF(MOD(MATCH(BG$6,'Planning data'!$M$3:$M$89,1),2)=0,""," ")</f>
        <v/>
      </c>
      <c r="BH19" s="435" t="str">
        <f>IF(MOD(MATCH(BH$6,'Planning data'!$M$3:$M$89,1),2)=0,""," ")</f>
        <v/>
      </c>
      <c r="BI19" s="435" t="str">
        <f>IF(MOD(MATCH(BI$6,'Planning data'!$M$3:$M$89,1),2)=0,""," ")</f>
        <v/>
      </c>
      <c r="BJ19" s="435" t="e">
        <f>IF(MOD(MATCH(BJ$6,'Planning data'!$M$3:$M$89,1),2)=0,""," ")</f>
        <v>#N/A</v>
      </c>
      <c r="BK19" s="435" t="e">
        <f>IF(MOD(MATCH(BK$6,'Planning data'!$M$3:$M$89,1),2)=0,""," ")</f>
        <v>#N/A</v>
      </c>
      <c r="BL19" s="435" t="e">
        <f>IF(MOD(MATCH(BL$6,'Planning data'!$M$3:$M$89,1),2)=0,""," ")</f>
        <v>#N/A</v>
      </c>
      <c r="BM19" s="453"/>
    </row>
    <row r="20" spans="1:66" s="425" customFormat="1" ht="50" customHeight="1" x14ac:dyDescent="0.15">
      <c r="A20" s="448"/>
      <c r="B20" s="468" t="str">
        <f>'Planning data'!P2</f>
        <v>N°13</v>
      </c>
      <c r="C20" s="435" t="str">
        <f>IF(MOD(MATCH(C$6,'Planning data'!$N$3:$N$89,1),2)=0,""," ")</f>
        <v/>
      </c>
      <c r="D20" s="435" t="str">
        <f>IF(MOD(MATCH(D$6,'Planning data'!$N$3:$N$89,1),2)=0,""," ")</f>
        <v/>
      </c>
      <c r="E20" s="435" t="str">
        <f>IF(MOD(MATCH(E$6,'Planning data'!$N$3:$N$89,1),2)=0,""," ")</f>
        <v/>
      </c>
      <c r="F20" s="435" t="str">
        <f>IF(MOD(MATCH(F$6,'Planning data'!$N$3:$N$89,1),2)=0,""," ")</f>
        <v/>
      </c>
      <c r="G20" s="435" t="str">
        <f>IF(MOD(MATCH(G$6,'Planning data'!$N$3:$N$89,1),2)=0,""," ")</f>
        <v/>
      </c>
      <c r="H20" s="435" t="str">
        <f>IF(MOD(MATCH(H$6,'Planning data'!$N$3:$N$89,1),2)=0,""," ")</f>
        <v/>
      </c>
      <c r="I20" s="435" t="str">
        <f>IF(MOD(MATCH(I$6,'Planning data'!$N$3:$N$89,1),2)=0,""," ")</f>
        <v/>
      </c>
      <c r="J20" s="435" t="str">
        <f>IF(MOD(MATCH(J$6,'Planning data'!$N$3:$N$89,1),2)=0,""," ")</f>
        <v/>
      </c>
      <c r="K20" s="435" t="str">
        <f>IF(MOD(MATCH(K$6,'Planning data'!$N$3:$N$89,1),2)=0,""," ")</f>
        <v/>
      </c>
      <c r="L20" s="435" t="str">
        <f>IF(MOD(MATCH(L$6,'Planning data'!$N$3:$N$89,1),2)=0,""," ")</f>
        <v/>
      </c>
      <c r="M20" s="435" t="str">
        <f>IF(MOD(MATCH(M$6,'Planning data'!$N$3:$N$89,1),2)=0,""," ")</f>
        <v/>
      </c>
      <c r="N20" s="435" t="str">
        <f>IF(MOD(MATCH(N$6,'Planning data'!$N$3:$N$89,1),2)=0,""," ")</f>
        <v/>
      </c>
      <c r="O20" s="435" t="str">
        <f>IF(MOD(MATCH(O$6,'Planning data'!$N$3:$N$89,1),2)=0,""," ")</f>
        <v/>
      </c>
      <c r="P20" s="435" t="str">
        <f>IF(MOD(MATCH(P$6,'Planning data'!$N$3:$N$89,1),2)=0,""," ")</f>
        <v/>
      </c>
      <c r="Q20" s="435" t="str">
        <f>IF(MOD(MATCH(Q$6,'Planning data'!$N$3:$N$89,1),2)=0,""," ")</f>
        <v/>
      </c>
      <c r="R20" s="435" t="str">
        <f>IF(MOD(MATCH(R$6,'Planning data'!$N$3:$N$89,1),2)=0,""," ")</f>
        <v/>
      </c>
      <c r="S20" s="435" t="str">
        <f>IF(MOD(MATCH(S$6,'Planning data'!$N$3:$N$89,1),2)=0,""," ")</f>
        <v/>
      </c>
      <c r="T20" s="435" t="str">
        <f>IF(MOD(MATCH(T$6,'Planning data'!$N$3:$N$89,1),2)=0,""," ")</f>
        <v/>
      </c>
      <c r="U20" s="435" t="str">
        <f>IF(MOD(MATCH(U$6,'Planning data'!$N$3:$N$89,1),2)=0,""," ")</f>
        <v/>
      </c>
      <c r="V20" s="435" t="str">
        <f>IF(MOD(MATCH(V$6,'Planning data'!$N$3:$N$89,1),2)=0,""," ")</f>
        <v/>
      </c>
      <c r="W20" s="435" t="str">
        <f>IF(MOD(MATCH(W$6,'Planning data'!$N$3:$N$89,1),2)=0,""," ")</f>
        <v/>
      </c>
      <c r="X20" s="435" t="str">
        <f>IF(MOD(MATCH(X$6,'Planning data'!$N$3:$N$89,1),2)=0,""," ")</f>
        <v/>
      </c>
      <c r="Y20" s="435" t="str">
        <f>IF(MOD(MATCH(Y$6,'Planning data'!$N$3:$N$89,1),2)=0,""," ")</f>
        <v/>
      </c>
      <c r="Z20" s="435" t="str">
        <f>IF(MOD(MATCH(Z$6,'Planning data'!$N$3:$N$89,1),2)=0,""," ")</f>
        <v/>
      </c>
      <c r="AA20" s="435" t="str">
        <f>IF(MOD(MATCH(AA$6,'Planning data'!$N$3:$N$89,1),2)=0,""," ")</f>
        <v/>
      </c>
      <c r="AB20" s="435" t="str">
        <f>IF(MOD(MATCH(AB$6,'Planning data'!$N$3:$N$89,1),2)=0,""," ")</f>
        <v/>
      </c>
      <c r="AC20" s="435" t="str">
        <f>IF(MOD(MATCH(AC$6,'Planning data'!$N$3:$N$89,1),2)=0,""," ")</f>
        <v/>
      </c>
      <c r="AD20" s="435" t="str">
        <f>IF(MOD(MATCH(AD$6,'Planning data'!$N$3:$N$89,1),2)=0,""," ")</f>
        <v/>
      </c>
      <c r="AE20" s="435" t="str">
        <f>IF(MOD(MATCH(AE$6,'Planning data'!$N$3:$N$89,1),2)=0,""," ")</f>
        <v/>
      </c>
      <c r="AF20" s="435" t="str">
        <f>IF(MOD(MATCH(AF$6,'Planning data'!$N$3:$N$89,1),2)=0,""," ")</f>
        <v/>
      </c>
      <c r="AG20" s="435" t="str">
        <f>IF(MOD(MATCH(AG$6,'Planning data'!$N$3:$N$89,1),2)=0,""," ")</f>
        <v/>
      </c>
      <c r="AH20" s="435" t="str">
        <f>IF(MOD(MATCH(AH$6,'Planning data'!$N$3:$N$89,1),2)=0,""," ")</f>
        <v/>
      </c>
      <c r="AI20" s="435" t="str">
        <f>IF(MOD(MATCH(AI$6,'Planning data'!$N$3:$N$89,1),2)=0,""," ")</f>
        <v/>
      </c>
      <c r="AJ20" s="435" t="str">
        <f>IF(MOD(MATCH(AJ$6,'Planning data'!$N$3:$N$89,1),2)=0,""," ")</f>
        <v/>
      </c>
      <c r="AK20" s="435" t="str">
        <f>IF(MOD(MATCH(AK$6,'Planning data'!$N$3:$N$89,1),2)=0,""," ")</f>
        <v/>
      </c>
      <c r="AL20" s="435" t="str">
        <f>IF(MOD(MATCH(AL$6,'Planning data'!$N$3:$N$89,1),2)=0,""," ")</f>
        <v/>
      </c>
      <c r="AM20" s="435" t="str">
        <f>IF(MOD(MATCH(AM$6,'Planning data'!$N$3:$N$89,1),2)=0,""," ")</f>
        <v/>
      </c>
      <c r="AN20" s="435" t="str">
        <f>IF(MOD(MATCH(AN$6,'Planning data'!$N$3:$N$89,1),2)=0,""," ")</f>
        <v/>
      </c>
      <c r="AO20" s="435" t="str">
        <f>IF(MOD(MATCH(AO$6,'Planning data'!$N$3:$N$89,1),2)=0,""," ")</f>
        <v/>
      </c>
      <c r="AP20" s="435" t="str">
        <f>IF(MOD(MATCH(AP$6,'Planning data'!$N$3:$N$89,1),2)=0,""," ")</f>
        <v/>
      </c>
      <c r="AQ20" s="435" t="str">
        <f>IF(MOD(MATCH(AQ$6,'Planning data'!$N$3:$N$89,1),2)=0,""," ")</f>
        <v/>
      </c>
      <c r="AR20" s="435" t="str">
        <f>IF(MOD(MATCH(AR$6,'Planning data'!$N$3:$N$89,1),2)=0,""," ")</f>
        <v/>
      </c>
      <c r="AS20" s="435" t="str">
        <f>IF(MOD(MATCH(AS$6,'Planning data'!$N$3:$N$89,1),2)=0,""," ")</f>
        <v/>
      </c>
      <c r="AT20" s="435" t="str">
        <f>IF(MOD(MATCH(AT$6,'Planning data'!$N$3:$N$89,1),2)=0,""," ")</f>
        <v/>
      </c>
      <c r="AU20" s="435" t="str">
        <f>IF(MOD(MATCH(AU$6,'Planning data'!$N$3:$N$89,1),2)=0,""," ")</f>
        <v/>
      </c>
      <c r="AV20" s="435" t="str">
        <f>IF(MOD(MATCH(AV$6,'Planning data'!$N$3:$N$89,1),2)=0,""," ")</f>
        <v/>
      </c>
      <c r="AW20" s="435" t="str">
        <f>IF(MOD(MATCH(AW$6,'Planning data'!$N$3:$N$89,1),2)=0,""," ")</f>
        <v/>
      </c>
      <c r="AX20" s="435" t="str">
        <f>IF(MOD(MATCH(AX$6,'Planning data'!$N$3:$N$89,1),2)=0,""," ")</f>
        <v/>
      </c>
      <c r="AY20" s="435" t="str">
        <f>IF(MOD(MATCH(AY$6,'Planning data'!$N$3:$N$89,1),2)=0,""," ")</f>
        <v/>
      </c>
      <c r="AZ20" s="435" t="str">
        <f>IF(MOD(MATCH(AZ$6,'Planning data'!$N$3:$N$89,1),2)=0,""," ")</f>
        <v/>
      </c>
      <c r="BA20" s="435" t="str">
        <f>IF(MOD(MATCH(BA$6,'Planning data'!$N$3:$N$89,1),2)=0,""," ")</f>
        <v/>
      </c>
      <c r="BB20" s="435" t="str">
        <f>IF(MOD(MATCH(BB$6,'Planning data'!$N$3:$N$89,1),2)=0,""," ")</f>
        <v/>
      </c>
      <c r="BC20" s="435" t="str">
        <f>IF(MOD(MATCH(BC$6,'Planning data'!$N$3:$N$89,1),2)=0,""," ")</f>
        <v/>
      </c>
      <c r="BD20" s="435" t="str">
        <f>IF(MOD(MATCH(BD$6,'Planning data'!$N$3:$N$89,1),2)=0,""," ")</f>
        <v/>
      </c>
      <c r="BE20" s="435" t="str">
        <f>IF(MOD(MATCH(BE$6,'Planning data'!$N$3:$N$89,1),2)=0,""," ")</f>
        <v/>
      </c>
      <c r="BF20" s="435" t="str">
        <f>IF(MOD(MATCH(BF$6,'Planning data'!$N$3:$N$89,1),2)=0,""," ")</f>
        <v/>
      </c>
      <c r="BG20" s="435" t="str">
        <f>IF(MOD(MATCH(BG$6,'Planning data'!$N$3:$N$89,1),2)=0,""," ")</f>
        <v/>
      </c>
      <c r="BH20" s="435" t="str">
        <f>IF(MOD(MATCH(BH$6,'Planning data'!$N$3:$N$89,1),2)=0,""," ")</f>
        <v/>
      </c>
      <c r="BI20" s="435" t="str">
        <f>IF(MOD(MATCH(BI$6,'Planning data'!$N$3:$N$89,1),2)=0,""," ")</f>
        <v/>
      </c>
      <c r="BJ20" s="435" t="e">
        <f>IF(MOD(MATCH(BJ$6,'Planning data'!$N$3:$N$89,1),2)=0,""," ")</f>
        <v>#N/A</v>
      </c>
      <c r="BK20" s="435" t="e">
        <f>IF(MOD(MATCH(BK$6,'Planning data'!$N$3:$N$89,1),2)=0,""," ")</f>
        <v>#N/A</v>
      </c>
      <c r="BL20" s="435" t="e">
        <f>IF(MOD(MATCH(BL$6,'Planning data'!$N$3:$N$89,1),2)=0,""," ")</f>
        <v>#N/A</v>
      </c>
      <c r="BM20" s="453"/>
    </row>
    <row r="21" spans="1:66" s="425" customFormat="1" ht="50" customHeight="1" x14ac:dyDescent="0.15">
      <c r="A21" s="448"/>
      <c r="B21" s="468" t="str">
        <f>'Planning data'!Q2</f>
        <v>N°14</v>
      </c>
      <c r="C21" s="435" t="str">
        <f>IF(MOD(MATCH(C$6,'Planning data'!$O$3:$O$89,1),2)=0,""," ")</f>
        <v/>
      </c>
      <c r="D21" s="435" t="str">
        <f>IF(MOD(MATCH(D$6,'Planning data'!$O$3:$O$89,1),2)=0,""," ")</f>
        <v/>
      </c>
      <c r="E21" s="435" t="str">
        <f>IF(MOD(MATCH(E$6,'Planning data'!$O$3:$O$89,1),2)=0,""," ")</f>
        <v/>
      </c>
      <c r="F21" s="435" t="str">
        <f>IF(MOD(MATCH(F$6,'Planning data'!$O$3:$O$89,1),2)=0,""," ")</f>
        <v/>
      </c>
      <c r="G21" s="435" t="str">
        <f>IF(MOD(MATCH(G$6,'Planning data'!$O$3:$O$89,1),2)=0,""," ")</f>
        <v/>
      </c>
      <c r="H21" s="435" t="str">
        <f>IF(MOD(MATCH(H$6,'Planning data'!$O$3:$O$89,1),2)=0,""," ")</f>
        <v/>
      </c>
      <c r="I21" s="435" t="str">
        <f>IF(MOD(MATCH(I$6,'Planning data'!$O$3:$O$89,1),2)=0,""," ")</f>
        <v/>
      </c>
      <c r="J21" s="435" t="str">
        <f>IF(MOD(MATCH(J$6,'Planning data'!$O$3:$O$89,1),2)=0,""," ")</f>
        <v/>
      </c>
      <c r="K21" s="435" t="str">
        <f>IF(MOD(MATCH(K$6,'Planning data'!$O$3:$O$89,1),2)=0,""," ")</f>
        <v/>
      </c>
      <c r="L21" s="435" t="str">
        <f>IF(MOD(MATCH(L$6,'Planning data'!$O$3:$O$89,1),2)=0,""," ")</f>
        <v/>
      </c>
      <c r="M21" s="435" t="str">
        <f>IF(MOD(MATCH(M$6,'Planning data'!$O$3:$O$89,1),2)=0,""," ")</f>
        <v/>
      </c>
      <c r="N21" s="435" t="str">
        <f>IF(MOD(MATCH(N$6,'Planning data'!$O$3:$O$89,1),2)=0,""," ")</f>
        <v/>
      </c>
      <c r="O21" s="435" t="str">
        <f>IF(MOD(MATCH(O$6,'Planning data'!$O$3:$O$89,1),2)=0,""," ")</f>
        <v/>
      </c>
      <c r="P21" s="435" t="str">
        <f>IF(MOD(MATCH(P$6,'Planning data'!$O$3:$O$89,1),2)=0,""," ")</f>
        <v/>
      </c>
      <c r="Q21" s="435" t="str">
        <f>IF(MOD(MATCH(Q$6,'Planning data'!$O$3:$O$89,1),2)=0,""," ")</f>
        <v/>
      </c>
      <c r="R21" s="435" t="str">
        <f>IF(MOD(MATCH(R$6,'Planning data'!$O$3:$O$89,1),2)=0,""," ")</f>
        <v/>
      </c>
      <c r="S21" s="435" t="str">
        <f>IF(MOD(MATCH(S$6,'Planning data'!$O$3:$O$89,1),2)=0,""," ")</f>
        <v/>
      </c>
      <c r="T21" s="435" t="str">
        <f>IF(MOD(MATCH(T$6,'Planning data'!$O$3:$O$89,1),2)=0,""," ")</f>
        <v/>
      </c>
      <c r="U21" s="435" t="str">
        <f>IF(MOD(MATCH(U$6,'Planning data'!$O$3:$O$89,1),2)=0,""," ")</f>
        <v/>
      </c>
      <c r="V21" s="435" t="str">
        <f>IF(MOD(MATCH(V$6,'Planning data'!$O$3:$O$89,1),2)=0,""," ")</f>
        <v/>
      </c>
      <c r="W21" s="435" t="str">
        <f>IF(MOD(MATCH(W$6,'Planning data'!$O$3:$O$89,1),2)=0,""," ")</f>
        <v/>
      </c>
      <c r="X21" s="435" t="str">
        <f>IF(MOD(MATCH(X$6,'Planning data'!$O$3:$O$89,1),2)=0,""," ")</f>
        <v/>
      </c>
      <c r="Y21" s="435" t="str">
        <f>IF(MOD(MATCH(Y$6,'Planning data'!$O$3:$O$89,1),2)=0,""," ")</f>
        <v/>
      </c>
      <c r="Z21" s="435" t="str">
        <f>IF(MOD(MATCH(Z$6,'Planning data'!$O$3:$O$89,1),2)=0,""," ")</f>
        <v/>
      </c>
      <c r="AA21" s="435" t="str">
        <f>IF(MOD(MATCH(AA$6,'Planning data'!$O$3:$O$89,1),2)=0,""," ")</f>
        <v/>
      </c>
      <c r="AB21" s="435" t="str">
        <f>IF(MOD(MATCH(AB$6,'Planning data'!$O$3:$O$89,1),2)=0,""," ")</f>
        <v/>
      </c>
      <c r="AC21" s="435" t="str">
        <f>IF(MOD(MATCH(AC$6,'Planning data'!$O$3:$O$89,1),2)=0,""," ")</f>
        <v/>
      </c>
      <c r="AD21" s="435" t="str">
        <f>IF(MOD(MATCH(AD$6,'Planning data'!$O$3:$O$89,1),2)=0,""," ")</f>
        <v/>
      </c>
      <c r="AE21" s="435" t="str">
        <f>IF(MOD(MATCH(AE$6,'Planning data'!$O$3:$O$89,1),2)=0,""," ")</f>
        <v/>
      </c>
      <c r="AF21" s="435" t="str">
        <f>IF(MOD(MATCH(AF$6,'Planning data'!$O$3:$O$89,1),2)=0,""," ")</f>
        <v/>
      </c>
      <c r="AG21" s="435" t="str">
        <f>IF(MOD(MATCH(AG$6,'Planning data'!$O$3:$O$89,1),2)=0,""," ")</f>
        <v/>
      </c>
      <c r="AH21" s="435" t="str">
        <f>IF(MOD(MATCH(AH$6,'Planning data'!$O$3:$O$89,1),2)=0,""," ")</f>
        <v/>
      </c>
      <c r="AI21" s="435" t="str">
        <f>IF(MOD(MATCH(AI$6,'Planning data'!$O$3:$O$89,1),2)=0,""," ")</f>
        <v/>
      </c>
      <c r="AJ21" s="435" t="str">
        <f>IF(MOD(MATCH(AJ$6,'Planning data'!$O$3:$O$89,1),2)=0,""," ")</f>
        <v/>
      </c>
      <c r="AK21" s="435" t="str">
        <f>IF(MOD(MATCH(AK$6,'Planning data'!$O$3:$O$89,1),2)=0,""," ")</f>
        <v/>
      </c>
      <c r="AL21" s="435" t="str">
        <f>IF(MOD(MATCH(AL$6,'Planning data'!$O$3:$O$89,1),2)=0,""," ")</f>
        <v/>
      </c>
      <c r="AM21" s="435" t="str">
        <f>IF(MOD(MATCH(AM$6,'Planning data'!$O$3:$O$89,1),2)=0,""," ")</f>
        <v/>
      </c>
      <c r="AN21" s="435" t="str">
        <f>IF(MOD(MATCH(AN$6,'Planning data'!$O$3:$O$89,1),2)=0,""," ")</f>
        <v/>
      </c>
      <c r="AO21" s="435" t="str">
        <f>IF(MOD(MATCH(AO$6,'Planning data'!$O$3:$O$89,1),2)=0,""," ")</f>
        <v/>
      </c>
      <c r="AP21" s="435" t="str">
        <f>IF(MOD(MATCH(AP$6,'Planning data'!$O$3:$O$89,1),2)=0,""," ")</f>
        <v/>
      </c>
      <c r="AQ21" s="435" t="str">
        <f>IF(MOD(MATCH(AQ$6,'Planning data'!$O$3:$O$89,1),2)=0,""," ")</f>
        <v/>
      </c>
      <c r="AR21" s="435" t="str">
        <f>IF(MOD(MATCH(AR$6,'Planning data'!$O$3:$O$89,1),2)=0,""," ")</f>
        <v/>
      </c>
      <c r="AS21" s="435" t="str">
        <f>IF(MOD(MATCH(AS$6,'Planning data'!$O$3:$O$89,1),2)=0,""," ")</f>
        <v/>
      </c>
      <c r="AT21" s="435" t="str">
        <f>IF(MOD(MATCH(AT$6,'Planning data'!$O$3:$O$89,1),2)=0,""," ")</f>
        <v/>
      </c>
      <c r="AU21" s="435" t="str">
        <f>IF(MOD(MATCH(AU$6,'Planning data'!$O$3:$O$89,1),2)=0,""," ")</f>
        <v/>
      </c>
      <c r="AV21" s="435" t="str">
        <f>IF(MOD(MATCH(AV$6,'Planning data'!$O$3:$O$89,1),2)=0,""," ")</f>
        <v/>
      </c>
      <c r="AW21" s="435" t="str">
        <f>IF(MOD(MATCH(AW$6,'Planning data'!$O$3:$O$89,1),2)=0,""," ")</f>
        <v/>
      </c>
      <c r="AX21" s="435" t="str">
        <f>IF(MOD(MATCH(AX$6,'Planning data'!$O$3:$O$89,1),2)=0,""," ")</f>
        <v/>
      </c>
      <c r="AY21" s="435" t="str">
        <f>IF(MOD(MATCH(AY$6,'Planning data'!$O$3:$O$89,1),2)=0,""," ")</f>
        <v/>
      </c>
      <c r="AZ21" s="435" t="str">
        <f>IF(MOD(MATCH(AZ$6,'Planning data'!$O$3:$O$89,1),2)=0,""," ")</f>
        <v/>
      </c>
      <c r="BA21" s="435" t="str">
        <f>IF(MOD(MATCH(BA$6,'Planning data'!$O$3:$O$89,1),2)=0,""," ")</f>
        <v/>
      </c>
      <c r="BB21" s="435" t="str">
        <f>IF(MOD(MATCH(BB$6,'Planning data'!$O$3:$O$89,1),2)=0,""," ")</f>
        <v/>
      </c>
      <c r="BC21" s="435" t="str">
        <f>IF(MOD(MATCH(BC$6,'Planning data'!$O$3:$O$89,1),2)=0,""," ")</f>
        <v/>
      </c>
      <c r="BD21" s="435" t="str">
        <f>IF(MOD(MATCH(BD$6,'Planning data'!$O$3:$O$89,1),2)=0,""," ")</f>
        <v/>
      </c>
      <c r="BE21" s="435" t="str">
        <f>IF(MOD(MATCH(BE$6,'Planning data'!$O$3:$O$89,1),2)=0,""," ")</f>
        <v/>
      </c>
      <c r="BF21" s="435" t="str">
        <f>IF(MOD(MATCH(BF$6,'Planning data'!$O$3:$O$89,1),2)=0,""," ")</f>
        <v/>
      </c>
      <c r="BG21" s="435" t="str">
        <f>IF(MOD(MATCH(BG$6,'Planning data'!$O$3:$O$89,1),2)=0,""," ")</f>
        <v/>
      </c>
      <c r="BH21" s="435" t="str">
        <f>IF(MOD(MATCH(BH$6,'Planning data'!$O$3:$O$89,1),2)=0,""," ")</f>
        <v/>
      </c>
      <c r="BI21" s="435" t="str">
        <f>IF(MOD(MATCH(BI$6,'Planning data'!$O$3:$O$89,1),2)=0,""," ")</f>
        <v/>
      </c>
      <c r="BJ21" s="435" t="e">
        <f>IF(MOD(MATCH(BJ$6,'Planning data'!$O$3:$O$89,1),2)=0,""," ")</f>
        <v>#N/A</v>
      </c>
      <c r="BK21" s="435" t="e">
        <f>IF(MOD(MATCH(BK$6,'Planning data'!$O$3:$O$89,1),2)=0,""," ")</f>
        <v>#N/A</v>
      </c>
      <c r="BL21" s="435" t="e">
        <f>IF(MOD(MATCH(BL$6,'Planning data'!$O$3:$O$89,1),2)=0,""," ")</f>
        <v>#N/A</v>
      </c>
      <c r="BM21" s="453"/>
    </row>
    <row r="22" spans="1:66" s="425" customFormat="1" ht="50" customHeight="1" x14ac:dyDescent="0.15">
      <c r="A22" s="448"/>
      <c r="B22" s="468" t="str">
        <f>'Planning data'!R2</f>
        <v>N°15</v>
      </c>
      <c r="C22" s="435" t="str">
        <f>IF(MOD(MATCH(C$6,'Planning data'!$P$3:$P$89,1),2)=0,""," ")</f>
        <v/>
      </c>
      <c r="D22" s="435" t="str">
        <f>IF(MOD(MATCH(D$6,'Planning data'!$P$3:$P$89,1),2)=0,""," ")</f>
        <v/>
      </c>
      <c r="E22" s="435" t="str">
        <f>IF(MOD(MATCH(E$6,'Planning data'!$P$3:$P$89,1),2)=0,""," ")</f>
        <v/>
      </c>
      <c r="F22" s="435" t="str">
        <f>IF(MOD(MATCH(F$6,'Planning data'!$P$3:$P$89,1),2)=0,""," ")</f>
        <v/>
      </c>
      <c r="G22" s="435" t="str">
        <f>IF(MOD(MATCH(G$6,'Planning data'!$P$3:$P$89,1),2)=0,""," ")</f>
        <v/>
      </c>
      <c r="H22" s="435" t="str">
        <f>IF(MOD(MATCH(H$6,'Planning data'!$P$3:$P$89,1),2)=0,""," ")</f>
        <v/>
      </c>
      <c r="I22" s="435" t="str">
        <f>IF(MOD(MATCH(I$6,'Planning data'!$P$3:$P$89,1),2)=0,""," ")</f>
        <v/>
      </c>
      <c r="J22" s="435" t="str">
        <f>IF(MOD(MATCH(J$6,'Planning data'!$P$3:$P$89,1),2)=0,""," ")</f>
        <v/>
      </c>
      <c r="K22" s="435" t="str">
        <f>IF(MOD(MATCH(K$6,'Planning data'!$P$3:$P$89,1),2)=0,""," ")</f>
        <v/>
      </c>
      <c r="L22" s="435" t="str">
        <f>IF(MOD(MATCH(L$6,'Planning data'!$P$3:$P$89,1),2)=0,""," ")</f>
        <v/>
      </c>
      <c r="M22" s="435" t="str">
        <f>IF(MOD(MATCH(M$6,'Planning data'!$P$3:$P$89,1),2)=0,""," ")</f>
        <v/>
      </c>
      <c r="N22" s="435" t="str">
        <f>IF(MOD(MATCH(N$6,'Planning data'!$P$3:$P$89,1),2)=0,""," ")</f>
        <v/>
      </c>
      <c r="O22" s="435" t="str">
        <f>IF(MOD(MATCH(O$6,'Planning data'!$P$3:$P$89,1),2)=0,""," ")</f>
        <v/>
      </c>
      <c r="P22" s="435" t="str">
        <f>IF(MOD(MATCH(P$6,'Planning data'!$P$3:$P$89,1),2)=0,""," ")</f>
        <v/>
      </c>
      <c r="Q22" s="435" t="str">
        <f>IF(MOD(MATCH(Q$6,'Planning data'!$P$3:$P$89,1),2)=0,""," ")</f>
        <v/>
      </c>
      <c r="R22" s="435" t="str">
        <f>IF(MOD(MATCH(R$6,'Planning data'!$P$3:$P$89,1),2)=0,""," ")</f>
        <v/>
      </c>
      <c r="S22" s="435" t="str">
        <f>IF(MOD(MATCH(S$6,'Planning data'!$P$3:$P$89,1),2)=0,""," ")</f>
        <v/>
      </c>
      <c r="T22" s="435" t="str">
        <f>IF(MOD(MATCH(T$6,'Planning data'!$P$3:$P$89,1),2)=0,""," ")</f>
        <v/>
      </c>
      <c r="U22" s="435" t="str">
        <f>IF(MOD(MATCH(U$6,'Planning data'!$P$3:$P$89,1),2)=0,""," ")</f>
        <v/>
      </c>
      <c r="V22" s="435" t="str">
        <f>IF(MOD(MATCH(V$6,'Planning data'!$P$3:$P$89,1),2)=0,""," ")</f>
        <v/>
      </c>
      <c r="W22" s="435" t="str">
        <f>IF(MOD(MATCH(W$6,'Planning data'!$P$3:$P$89,1),2)=0,""," ")</f>
        <v/>
      </c>
      <c r="X22" s="435" t="str">
        <f>IF(MOD(MATCH(X$6,'Planning data'!$P$3:$P$89,1),2)=0,""," ")</f>
        <v/>
      </c>
      <c r="Y22" s="435" t="str">
        <f>IF(MOD(MATCH(Y$6,'Planning data'!$P$3:$P$89,1),2)=0,""," ")</f>
        <v/>
      </c>
      <c r="Z22" s="435" t="str">
        <f>IF(MOD(MATCH(Z$6,'Planning data'!$P$3:$P$89,1),2)=0,""," ")</f>
        <v/>
      </c>
      <c r="AA22" s="435" t="str">
        <f>IF(MOD(MATCH(AA$6,'Planning data'!$P$3:$P$89,1),2)=0,""," ")</f>
        <v/>
      </c>
      <c r="AB22" s="435" t="str">
        <f>IF(MOD(MATCH(AB$6,'Planning data'!$P$3:$P$89,1),2)=0,""," ")</f>
        <v/>
      </c>
      <c r="AC22" s="435" t="str">
        <f>IF(MOD(MATCH(AC$6,'Planning data'!$P$3:$P$89,1),2)=0,""," ")</f>
        <v/>
      </c>
      <c r="AD22" s="435" t="str">
        <f>IF(MOD(MATCH(AD$6,'Planning data'!$P$3:$P$89,1),2)=0,""," ")</f>
        <v/>
      </c>
      <c r="AE22" s="435" t="str">
        <f>IF(MOD(MATCH(AE$6,'Planning data'!$P$3:$P$89,1),2)=0,""," ")</f>
        <v/>
      </c>
      <c r="AF22" s="435" t="str">
        <f>IF(MOD(MATCH(AF$6,'Planning data'!$P$3:$P$89,1),2)=0,""," ")</f>
        <v/>
      </c>
      <c r="AG22" s="435" t="str">
        <f>IF(MOD(MATCH(AG$6,'Planning data'!$P$3:$P$89,1),2)=0,""," ")</f>
        <v/>
      </c>
      <c r="AH22" s="435" t="str">
        <f>IF(MOD(MATCH(AH$6,'Planning data'!$P$3:$P$89,1),2)=0,""," ")</f>
        <v/>
      </c>
      <c r="AI22" s="435" t="str">
        <f>IF(MOD(MATCH(AI$6,'Planning data'!$P$3:$P$89,1),2)=0,""," ")</f>
        <v/>
      </c>
      <c r="AJ22" s="435" t="str">
        <f>IF(MOD(MATCH(AJ$6,'Planning data'!$P$3:$P$89,1),2)=0,""," ")</f>
        <v/>
      </c>
      <c r="AK22" s="435" t="str">
        <f>IF(MOD(MATCH(AK$6,'Planning data'!$P$3:$P$89,1),2)=0,""," ")</f>
        <v/>
      </c>
      <c r="AL22" s="435" t="str">
        <f>IF(MOD(MATCH(AL$6,'Planning data'!$P$3:$P$89,1),2)=0,""," ")</f>
        <v/>
      </c>
      <c r="AM22" s="435" t="str">
        <f>IF(MOD(MATCH(AM$6,'Planning data'!$P$3:$P$89,1),2)=0,""," ")</f>
        <v/>
      </c>
      <c r="AN22" s="435" t="str">
        <f>IF(MOD(MATCH(AN$6,'Planning data'!$P$3:$P$89,1),2)=0,""," ")</f>
        <v/>
      </c>
      <c r="AO22" s="435" t="str">
        <f>IF(MOD(MATCH(AO$6,'Planning data'!$P$3:$P$89,1),2)=0,""," ")</f>
        <v/>
      </c>
      <c r="AP22" s="435" t="str">
        <f>IF(MOD(MATCH(AP$6,'Planning data'!$P$3:$P$89,1),2)=0,""," ")</f>
        <v/>
      </c>
      <c r="AQ22" s="435" t="str">
        <f>IF(MOD(MATCH(AQ$6,'Planning data'!$P$3:$P$89,1),2)=0,""," ")</f>
        <v/>
      </c>
      <c r="AR22" s="435" t="str">
        <f>IF(MOD(MATCH(AR$6,'Planning data'!$P$3:$P$89,1),2)=0,""," ")</f>
        <v/>
      </c>
      <c r="AS22" s="435" t="str">
        <f>IF(MOD(MATCH(AS$6,'Planning data'!$P$3:$P$89,1),2)=0,""," ")</f>
        <v/>
      </c>
      <c r="AT22" s="435" t="str">
        <f>IF(MOD(MATCH(AT$6,'Planning data'!$P$3:$P$89,1),2)=0,""," ")</f>
        <v/>
      </c>
      <c r="AU22" s="435" t="str">
        <f>IF(MOD(MATCH(AU$6,'Planning data'!$P$3:$P$89,1),2)=0,""," ")</f>
        <v/>
      </c>
      <c r="AV22" s="435" t="str">
        <f>IF(MOD(MATCH(AV$6,'Planning data'!$P$3:$P$89,1),2)=0,""," ")</f>
        <v/>
      </c>
      <c r="AW22" s="435" t="str">
        <f>IF(MOD(MATCH(AW$6,'Planning data'!$P$3:$P$89,1),2)=0,""," ")</f>
        <v/>
      </c>
      <c r="AX22" s="435" t="str">
        <f>IF(MOD(MATCH(AX$6,'Planning data'!$P$3:$P$89,1),2)=0,""," ")</f>
        <v/>
      </c>
      <c r="AY22" s="435" t="str">
        <f>IF(MOD(MATCH(AY$6,'Planning data'!$P$3:$P$89,1),2)=0,""," ")</f>
        <v/>
      </c>
      <c r="AZ22" s="435" t="str">
        <f>IF(MOD(MATCH(AZ$6,'Planning data'!$P$3:$P$89,1),2)=0,""," ")</f>
        <v/>
      </c>
      <c r="BA22" s="435" t="str">
        <f>IF(MOD(MATCH(BA$6,'Planning data'!$P$3:$P$89,1),2)=0,""," ")</f>
        <v/>
      </c>
      <c r="BB22" s="435" t="str">
        <f>IF(MOD(MATCH(BB$6,'Planning data'!$P$3:$P$89,1),2)=0,""," ")</f>
        <v/>
      </c>
      <c r="BC22" s="435" t="str">
        <f>IF(MOD(MATCH(BC$6,'Planning data'!$P$3:$P$89,1),2)=0,""," ")</f>
        <v/>
      </c>
      <c r="BD22" s="435" t="str">
        <f>IF(MOD(MATCH(BD$6,'Planning data'!$P$3:$P$89,1),2)=0,""," ")</f>
        <v/>
      </c>
      <c r="BE22" s="435" t="str">
        <f>IF(MOD(MATCH(BE$6,'Planning data'!$P$3:$P$89,1),2)=0,""," ")</f>
        <v/>
      </c>
      <c r="BF22" s="435" t="str">
        <f>IF(MOD(MATCH(BF$6,'Planning data'!$P$3:$P$89,1),2)=0,""," ")</f>
        <v/>
      </c>
      <c r="BG22" s="435" t="str">
        <f>IF(MOD(MATCH(BG$6,'Planning data'!$P$3:$P$89,1),2)=0,""," ")</f>
        <v/>
      </c>
      <c r="BH22" s="435" t="str">
        <f>IF(MOD(MATCH(BH$6,'Planning data'!$P$3:$P$89,1),2)=0,""," ")</f>
        <v/>
      </c>
      <c r="BI22" s="435" t="str">
        <f>IF(MOD(MATCH(BI$6,'Planning data'!$P$3:$P$89,1),2)=0,""," ")</f>
        <v/>
      </c>
      <c r="BJ22" s="435" t="e">
        <f>IF(MOD(MATCH(BJ$6,'Planning data'!$P$3:$P$89,1),2)=0,""," ")</f>
        <v>#N/A</v>
      </c>
      <c r="BK22" s="435" t="e">
        <f>IF(MOD(MATCH(BK$6,'Planning data'!$P$3:$P$89,1),2)=0,""," ")</f>
        <v>#N/A</v>
      </c>
      <c r="BL22" s="435" t="e">
        <f>IF(MOD(MATCH(BL$6,'Planning data'!$P$3:$P$89,1),2)=0,""," ")</f>
        <v>#N/A</v>
      </c>
      <c r="BM22" s="453"/>
    </row>
    <row r="23" spans="1:66" s="425" customFormat="1" ht="50" customHeight="1" x14ac:dyDescent="0.15">
      <c r="A23" s="448"/>
      <c r="B23" s="468" t="str">
        <f>'Planning data'!S2</f>
        <v>N°16</v>
      </c>
      <c r="C23" s="435" t="str">
        <f>IF(MOD(MATCH(C$6,'Planning data'!$Q$3:$Q$89,1),2)=0,""," ")</f>
        <v/>
      </c>
      <c r="D23" s="435" t="str">
        <f>IF(MOD(MATCH(D$6,'Planning data'!$Q$3:$Q$89,1),2)=0,""," ")</f>
        <v/>
      </c>
      <c r="E23" s="435" t="str">
        <f>IF(MOD(MATCH(E$6,'Planning data'!$Q$3:$Q$89,1),2)=0,""," ")</f>
        <v/>
      </c>
      <c r="F23" s="435" t="str">
        <f>IF(MOD(MATCH(F$6,'Planning data'!$Q$3:$Q$89,1),2)=0,""," ")</f>
        <v/>
      </c>
      <c r="G23" s="435" t="str">
        <f>IF(MOD(MATCH(G$6,'Planning data'!$Q$3:$Q$89,1),2)=0,""," ")</f>
        <v/>
      </c>
      <c r="H23" s="435" t="str">
        <f>IF(MOD(MATCH(H$6,'Planning data'!$Q$3:$Q$89,1),2)=0,""," ")</f>
        <v/>
      </c>
      <c r="I23" s="435" t="str">
        <f>IF(MOD(MATCH(I$6,'Planning data'!$Q$3:$Q$89,1),2)=0,""," ")</f>
        <v/>
      </c>
      <c r="J23" s="435" t="str">
        <f>IF(MOD(MATCH(J$6,'Planning data'!$Q$3:$Q$89,1),2)=0,""," ")</f>
        <v/>
      </c>
      <c r="K23" s="435" t="str">
        <f>IF(MOD(MATCH(K$6,'Planning data'!$Q$3:$Q$89,1),2)=0,""," ")</f>
        <v/>
      </c>
      <c r="L23" s="435" t="str">
        <f>IF(MOD(MATCH(L$6,'Planning data'!$Q$3:$Q$89,1),2)=0,""," ")</f>
        <v/>
      </c>
      <c r="M23" s="435" t="str">
        <f>IF(MOD(MATCH(M$6,'Planning data'!$Q$3:$Q$89,1),2)=0,""," ")</f>
        <v/>
      </c>
      <c r="N23" s="435" t="str">
        <f>IF(MOD(MATCH(N$6,'Planning data'!$Q$3:$Q$89,1),2)=0,""," ")</f>
        <v/>
      </c>
      <c r="O23" s="435" t="str">
        <f>IF(MOD(MATCH(O$6,'Planning data'!$Q$3:$Q$89,1),2)=0,""," ")</f>
        <v/>
      </c>
      <c r="P23" s="435" t="str">
        <f>IF(MOD(MATCH(P$6,'Planning data'!$Q$3:$Q$89,1),2)=0,""," ")</f>
        <v/>
      </c>
      <c r="Q23" s="435" t="str">
        <f>IF(MOD(MATCH(Q$6,'Planning data'!$Q$3:$Q$89,1),2)=0,""," ")</f>
        <v/>
      </c>
      <c r="R23" s="435" t="str">
        <f>IF(MOD(MATCH(R$6,'Planning data'!$Q$3:$Q$89,1),2)=0,""," ")</f>
        <v/>
      </c>
      <c r="S23" s="435" t="str">
        <f>IF(MOD(MATCH(S$6,'Planning data'!$Q$3:$Q$89,1),2)=0,""," ")</f>
        <v/>
      </c>
      <c r="T23" s="435" t="str">
        <f>IF(MOD(MATCH(T$6,'Planning data'!$Q$3:$Q$89,1),2)=0,""," ")</f>
        <v/>
      </c>
      <c r="U23" s="435" t="str">
        <f>IF(MOD(MATCH(U$6,'Planning data'!$Q$3:$Q$89,1),2)=0,""," ")</f>
        <v/>
      </c>
      <c r="V23" s="435" t="str">
        <f>IF(MOD(MATCH(V$6,'Planning data'!$Q$3:$Q$89,1),2)=0,""," ")</f>
        <v/>
      </c>
      <c r="W23" s="435" t="str">
        <f>IF(MOD(MATCH(W$6,'Planning data'!$Q$3:$Q$89,1),2)=0,""," ")</f>
        <v/>
      </c>
      <c r="X23" s="435" t="str">
        <f>IF(MOD(MATCH(X$6,'Planning data'!$Q$3:$Q$89,1),2)=0,""," ")</f>
        <v/>
      </c>
      <c r="Y23" s="435" t="str">
        <f>IF(MOD(MATCH(Y$6,'Planning data'!$Q$3:$Q$89,1),2)=0,""," ")</f>
        <v/>
      </c>
      <c r="Z23" s="435" t="str">
        <f>IF(MOD(MATCH(Z$6,'Planning data'!$Q$3:$Q$89,1),2)=0,""," ")</f>
        <v/>
      </c>
      <c r="AA23" s="435" t="str">
        <f>IF(MOD(MATCH(AA$6,'Planning data'!$Q$3:$Q$89,1),2)=0,""," ")</f>
        <v/>
      </c>
      <c r="AB23" s="435" t="str">
        <f>IF(MOD(MATCH(AB$6,'Planning data'!$Q$3:$Q$89,1),2)=0,""," ")</f>
        <v/>
      </c>
      <c r="AC23" s="435" t="str">
        <f>IF(MOD(MATCH(AC$6,'Planning data'!$Q$3:$Q$89,1),2)=0,""," ")</f>
        <v/>
      </c>
      <c r="AD23" s="435" t="str">
        <f>IF(MOD(MATCH(AD$6,'Planning data'!$Q$3:$Q$89,1),2)=0,""," ")</f>
        <v/>
      </c>
      <c r="AE23" s="435" t="str">
        <f>IF(MOD(MATCH(AE$6,'Planning data'!$Q$3:$Q$89,1),2)=0,""," ")</f>
        <v/>
      </c>
      <c r="AF23" s="435" t="str">
        <f>IF(MOD(MATCH(AF$6,'Planning data'!$Q$3:$Q$89,1),2)=0,""," ")</f>
        <v/>
      </c>
      <c r="AG23" s="435" t="str">
        <f>IF(MOD(MATCH(AG$6,'Planning data'!$Q$3:$Q$89,1),2)=0,""," ")</f>
        <v/>
      </c>
      <c r="AH23" s="435" t="str">
        <f>IF(MOD(MATCH(AH$6,'Planning data'!$Q$3:$Q$89,1),2)=0,""," ")</f>
        <v/>
      </c>
      <c r="AI23" s="435" t="str">
        <f>IF(MOD(MATCH(AI$6,'Planning data'!$Q$3:$Q$89,1),2)=0,""," ")</f>
        <v/>
      </c>
      <c r="AJ23" s="435" t="str">
        <f>IF(MOD(MATCH(AJ$6,'Planning data'!$Q$3:$Q$89,1),2)=0,""," ")</f>
        <v/>
      </c>
      <c r="AK23" s="435" t="str">
        <f>IF(MOD(MATCH(AK$6,'Planning data'!$Q$3:$Q$89,1),2)=0,""," ")</f>
        <v/>
      </c>
      <c r="AL23" s="435" t="str">
        <f>IF(MOD(MATCH(AL$6,'Planning data'!$Q$3:$Q$89,1),2)=0,""," ")</f>
        <v/>
      </c>
      <c r="AM23" s="435" t="str">
        <f>IF(MOD(MATCH(AM$6,'Planning data'!$Q$3:$Q$89,1),2)=0,""," ")</f>
        <v/>
      </c>
      <c r="AN23" s="435" t="str">
        <f>IF(MOD(MATCH(AN$6,'Planning data'!$Q$3:$Q$89,1),2)=0,""," ")</f>
        <v/>
      </c>
      <c r="AO23" s="435" t="str">
        <f>IF(MOD(MATCH(AO$6,'Planning data'!$Q$3:$Q$89,1),2)=0,""," ")</f>
        <v/>
      </c>
      <c r="AP23" s="435" t="str">
        <f>IF(MOD(MATCH(AP$6,'Planning data'!$Q$3:$Q$89,1),2)=0,""," ")</f>
        <v/>
      </c>
      <c r="AQ23" s="435" t="str">
        <f>IF(MOD(MATCH(AQ$6,'Planning data'!$Q$3:$Q$89,1),2)=0,""," ")</f>
        <v/>
      </c>
      <c r="AR23" s="435" t="str">
        <f>IF(MOD(MATCH(AR$6,'Planning data'!$Q$3:$Q$89,1),2)=0,""," ")</f>
        <v/>
      </c>
      <c r="AS23" s="435" t="str">
        <f>IF(MOD(MATCH(AS$6,'Planning data'!$Q$3:$Q$89,1),2)=0,""," ")</f>
        <v/>
      </c>
      <c r="AT23" s="435" t="str">
        <f>IF(MOD(MATCH(AT$6,'Planning data'!$Q$3:$Q$89,1),2)=0,""," ")</f>
        <v/>
      </c>
      <c r="AU23" s="435" t="str">
        <f>IF(MOD(MATCH(AU$6,'Planning data'!$Q$3:$Q$89,1),2)=0,""," ")</f>
        <v/>
      </c>
      <c r="AV23" s="435" t="str">
        <f>IF(MOD(MATCH(AV$6,'Planning data'!$Q$3:$Q$89,1),2)=0,""," ")</f>
        <v/>
      </c>
      <c r="AW23" s="435" t="str">
        <f>IF(MOD(MATCH(AW$6,'Planning data'!$Q$3:$Q$89,1),2)=0,""," ")</f>
        <v/>
      </c>
      <c r="AX23" s="435" t="str">
        <f>IF(MOD(MATCH(AX$6,'Planning data'!$Q$3:$Q$89,1),2)=0,""," ")</f>
        <v/>
      </c>
      <c r="AY23" s="435" t="str">
        <f>IF(MOD(MATCH(AY$6,'Planning data'!$Q$3:$Q$89,1),2)=0,""," ")</f>
        <v/>
      </c>
      <c r="AZ23" s="435" t="str">
        <f>IF(MOD(MATCH(AZ$6,'Planning data'!$Q$3:$Q$89,1),2)=0,""," ")</f>
        <v/>
      </c>
      <c r="BA23" s="435" t="str">
        <f>IF(MOD(MATCH(BA$6,'Planning data'!$Q$3:$Q$89,1),2)=0,""," ")</f>
        <v/>
      </c>
      <c r="BB23" s="435" t="str">
        <f>IF(MOD(MATCH(BB$6,'Planning data'!$Q$3:$Q$89,1),2)=0,""," ")</f>
        <v/>
      </c>
      <c r="BC23" s="435" t="str">
        <f>IF(MOD(MATCH(BC$6,'Planning data'!$Q$3:$Q$89,1),2)=0,""," ")</f>
        <v/>
      </c>
      <c r="BD23" s="435" t="str">
        <f>IF(MOD(MATCH(BD$6,'Planning data'!$Q$3:$Q$89,1),2)=0,""," ")</f>
        <v/>
      </c>
      <c r="BE23" s="435" t="str">
        <f>IF(MOD(MATCH(BE$6,'Planning data'!$Q$3:$Q$89,1),2)=0,""," ")</f>
        <v/>
      </c>
      <c r="BF23" s="435" t="str">
        <f>IF(MOD(MATCH(BF$6,'Planning data'!$Q$3:$Q$89,1),2)=0,""," ")</f>
        <v/>
      </c>
      <c r="BG23" s="435" t="str">
        <f>IF(MOD(MATCH(BG$6,'Planning data'!$Q$3:$Q$89,1),2)=0,""," ")</f>
        <v/>
      </c>
      <c r="BH23" s="435" t="str">
        <f>IF(MOD(MATCH(BH$6,'Planning data'!$Q$3:$Q$89,1),2)=0,""," ")</f>
        <v/>
      </c>
      <c r="BI23" s="435" t="str">
        <f>IF(MOD(MATCH(BI$6,'Planning data'!$Q$3:$Q$89,1),2)=0,""," ")</f>
        <v/>
      </c>
      <c r="BJ23" s="435" t="e">
        <f>IF(MOD(MATCH(BJ$6,'Planning data'!$Q$3:$Q$89,1),2)=0,""," ")</f>
        <v>#N/A</v>
      </c>
      <c r="BK23" s="435" t="e">
        <f>IF(MOD(MATCH(BK$6,'Planning data'!$Q$3:$Q$89,1),2)=0,""," ")</f>
        <v>#N/A</v>
      </c>
      <c r="BL23" s="435" t="e">
        <f>IF(MOD(MATCH(BL$6,'Planning data'!$Q$3:$Q$89,1),2)=0,""," ")</f>
        <v>#N/A</v>
      </c>
      <c r="BM23" s="453"/>
    </row>
    <row r="24" spans="1:66" s="425" customFormat="1" ht="50" customHeight="1" x14ac:dyDescent="0.15">
      <c r="A24" s="448"/>
      <c r="B24" s="468" t="str">
        <f>'Planning data'!T2</f>
        <v>N°17</v>
      </c>
      <c r="C24" s="435" t="str">
        <f>IF(MOD(MATCH(C$6,'Planning data'!$R$3:$R$89,1),2)=0,""," ")</f>
        <v/>
      </c>
      <c r="D24" s="435" t="str">
        <f>IF(MOD(MATCH(D$6,'Planning data'!$R$3:$R$89,1),2)=0,""," ")</f>
        <v/>
      </c>
      <c r="E24" s="435" t="str">
        <f>IF(MOD(MATCH(E$6,'Planning data'!$R$3:$R$89,1),2)=0,""," ")</f>
        <v/>
      </c>
      <c r="F24" s="435" t="str">
        <f>IF(MOD(MATCH(F$6,'Planning data'!$R$3:$R$89,1),2)=0,""," ")</f>
        <v/>
      </c>
      <c r="G24" s="435" t="str">
        <f>IF(MOD(MATCH(G$6,'Planning data'!$R$3:$R$89,1),2)=0,""," ")</f>
        <v/>
      </c>
      <c r="H24" s="435" t="str">
        <f>IF(MOD(MATCH(H$6,'Planning data'!$R$3:$R$89,1),2)=0,""," ")</f>
        <v/>
      </c>
      <c r="I24" s="435" t="str">
        <f>IF(MOD(MATCH(I$6,'Planning data'!$R$3:$R$89,1),2)=0,""," ")</f>
        <v/>
      </c>
      <c r="J24" s="435" t="str">
        <f>IF(MOD(MATCH(J$6,'Planning data'!$R$3:$R$89,1),2)=0,""," ")</f>
        <v/>
      </c>
      <c r="K24" s="435" t="str">
        <f>IF(MOD(MATCH(K$6,'Planning data'!$R$3:$R$89,1),2)=0,""," ")</f>
        <v/>
      </c>
      <c r="L24" s="435" t="str">
        <f>IF(MOD(MATCH(L$6,'Planning data'!$R$3:$R$89,1),2)=0,""," ")</f>
        <v/>
      </c>
      <c r="M24" s="435" t="str">
        <f>IF(MOD(MATCH(M$6,'Planning data'!$R$3:$R$89,1),2)=0,""," ")</f>
        <v/>
      </c>
      <c r="N24" s="435" t="str">
        <f>IF(MOD(MATCH(N$6,'Planning data'!$R$3:$R$89,1),2)=0,""," ")</f>
        <v/>
      </c>
      <c r="O24" s="435" t="str">
        <f>IF(MOD(MATCH(O$6,'Planning data'!$R$3:$R$89,1),2)=0,""," ")</f>
        <v/>
      </c>
      <c r="P24" s="435" t="str">
        <f>IF(MOD(MATCH(P$6,'Planning data'!$R$3:$R$89,1),2)=0,""," ")</f>
        <v/>
      </c>
      <c r="Q24" s="435" t="str">
        <f>IF(MOD(MATCH(Q$6,'Planning data'!$R$3:$R$89,1),2)=0,""," ")</f>
        <v/>
      </c>
      <c r="R24" s="435" t="str">
        <f>IF(MOD(MATCH(R$6,'Planning data'!$R$3:$R$89,1),2)=0,""," ")</f>
        <v/>
      </c>
      <c r="S24" s="435" t="str">
        <f>IF(MOD(MATCH(S$6,'Planning data'!$R$3:$R$89,1),2)=0,""," ")</f>
        <v/>
      </c>
      <c r="T24" s="435" t="str">
        <f>IF(MOD(MATCH(T$6,'Planning data'!$R$3:$R$89,1),2)=0,""," ")</f>
        <v/>
      </c>
      <c r="U24" s="435" t="str">
        <f>IF(MOD(MATCH(U$6,'Planning data'!$R$3:$R$89,1),2)=0,""," ")</f>
        <v/>
      </c>
      <c r="V24" s="435" t="str">
        <f>IF(MOD(MATCH(V$6,'Planning data'!$R$3:$R$89,1),2)=0,""," ")</f>
        <v/>
      </c>
      <c r="W24" s="435" t="str">
        <f>IF(MOD(MATCH(W$6,'Planning data'!$R$3:$R$89,1),2)=0,""," ")</f>
        <v/>
      </c>
      <c r="X24" s="435" t="str">
        <f>IF(MOD(MATCH(X$6,'Planning data'!$R$3:$R$89,1),2)=0,""," ")</f>
        <v/>
      </c>
      <c r="Y24" s="435" t="str">
        <f>IF(MOD(MATCH(Y$6,'Planning data'!$R$3:$R$89,1),2)=0,""," ")</f>
        <v/>
      </c>
      <c r="Z24" s="435" t="str">
        <f>IF(MOD(MATCH(Z$6,'Planning data'!$R$3:$R$89,1),2)=0,""," ")</f>
        <v/>
      </c>
      <c r="AA24" s="435" t="str">
        <f>IF(MOD(MATCH(AA$6,'Planning data'!$R$3:$R$89,1),2)=0,""," ")</f>
        <v/>
      </c>
      <c r="AB24" s="435" t="str">
        <f>IF(MOD(MATCH(AB$6,'Planning data'!$R$3:$R$89,1),2)=0,""," ")</f>
        <v/>
      </c>
      <c r="AC24" s="435" t="str">
        <f>IF(MOD(MATCH(AC$6,'Planning data'!$R$3:$R$89,1),2)=0,""," ")</f>
        <v/>
      </c>
      <c r="AD24" s="435" t="str">
        <f>IF(MOD(MATCH(AD$6,'Planning data'!$R$3:$R$89,1),2)=0,""," ")</f>
        <v/>
      </c>
      <c r="AE24" s="435" t="str">
        <f>IF(MOD(MATCH(AE$6,'Planning data'!$R$3:$R$89,1),2)=0,""," ")</f>
        <v/>
      </c>
      <c r="AF24" s="435" t="str">
        <f>IF(MOD(MATCH(AF$6,'Planning data'!$R$3:$R$89,1),2)=0,""," ")</f>
        <v/>
      </c>
      <c r="AG24" s="435" t="str">
        <f>IF(MOD(MATCH(AG$6,'Planning data'!$R$3:$R$89,1),2)=0,""," ")</f>
        <v/>
      </c>
      <c r="AH24" s="435" t="str">
        <f>IF(MOD(MATCH(AH$6,'Planning data'!$R$3:$R$89,1),2)=0,""," ")</f>
        <v/>
      </c>
      <c r="AI24" s="435" t="str">
        <f>IF(MOD(MATCH(AI$6,'Planning data'!$R$3:$R$89,1),2)=0,""," ")</f>
        <v/>
      </c>
      <c r="AJ24" s="435" t="str">
        <f>IF(MOD(MATCH(AJ$6,'Planning data'!$R$3:$R$89,1),2)=0,""," ")</f>
        <v/>
      </c>
      <c r="AK24" s="435" t="str">
        <f>IF(MOD(MATCH(AK$6,'Planning data'!$R$3:$R$89,1),2)=0,""," ")</f>
        <v/>
      </c>
      <c r="AL24" s="435" t="str">
        <f>IF(MOD(MATCH(AL$6,'Planning data'!$R$3:$R$89,1),2)=0,""," ")</f>
        <v/>
      </c>
      <c r="AM24" s="435" t="str">
        <f>IF(MOD(MATCH(AM$6,'Planning data'!$R$3:$R$89,1),2)=0,""," ")</f>
        <v/>
      </c>
      <c r="AN24" s="435" t="str">
        <f>IF(MOD(MATCH(AN$6,'Planning data'!$R$3:$R$89,1),2)=0,""," ")</f>
        <v/>
      </c>
      <c r="AO24" s="435" t="str">
        <f>IF(MOD(MATCH(AO$6,'Planning data'!$R$3:$R$89,1),2)=0,""," ")</f>
        <v/>
      </c>
      <c r="AP24" s="435" t="str">
        <f>IF(MOD(MATCH(AP$6,'Planning data'!$R$3:$R$89,1),2)=0,""," ")</f>
        <v/>
      </c>
      <c r="AQ24" s="435" t="str">
        <f>IF(MOD(MATCH(AQ$6,'Planning data'!$R$3:$R$89,1),2)=0,""," ")</f>
        <v/>
      </c>
      <c r="AR24" s="435" t="str">
        <f>IF(MOD(MATCH(AR$6,'Planning data'!$R$3:$R$89,1),2)=0,""," ")</f>
        <v/>
      </c>
      <c r="AS24" s="435" t="str">
        <f>IF(MOD(MATCH(AS$6,'Planning data'!$R$3:$R$89,1),2)=0,""," ")</f>
        <v/>
      </c>
      <c r="AT24" s="435" t="str">
        <f>IF(MOD(MATCH(AT$6,'Planning data'!$R$3:$R$89,1),2)=0,""," ")</f>
        <v/>
      </c>
      <c r="AU24" s="435" t="str">
        <f>IF(MOD(MATCH(AU$6,'Planning data'!$R$3:$R$89,1),2)=0,""," ")</f>
        <v/>
      </c>
      <c r="AV24" s="435" t="str">
        <f>IF(MOD(MATCH(AV$6,'Planning data'!$R$3:$R$89,1),2)=0,""," ")</f>
        <v/>
      </c>
      <c r="AW24" s="435" t="str">
        <f>IF(MOD(MATCH(AW$6,'Planning data'!$R$3:$R$89,1),2)=0,""," ")</f>
        <v/>
      </c>
      <c r="AX24" s="435" t="str">
        <f>IF(MOD(MATCH(AX$6,'Planning data'!$R$3:$R$89,1),2)=0,""," ")</f>
        <v/>
      </c>
      <c r="AY24" s="435" t="str">
        <f>IF(MOD(MATCH(AY$6,'Planning data'!$R$3:$R$89,1),2)=0,""," ")</f>
        <v/>
      </c>
      <c r="AZ24" s="435" t="str">
        <f>IF(MOD(MATCH(AZ$6,'Planning data'!$R$3:$R$89,1),2)=0,""," ")</f>
        <v/>
      </c>
      <c r="BA24" s="435" t="str">
        <f>IF(MOD(MATCH(BA$6,'Planning data'!$R$3:$R$89,1),2)=0,""," ")</f>
        <v/>
      </c>
      <c r="BB24" s="435" t="str">
        <f>IF(MOD(MATCH(BB$6,'Planning data'!$R$3:$R$89,1),2)=0,""," ")</f>
        <v/>
      </c>
      <c r="BC24" s="435" t="str">
        <f>IF(MOD(MATCH(BC$6,'Planning data'!$R$3:$R$89,1),2)=0,""," ")</f>
        <v/>
      </c>
      <c r="BD24" s="435" t="str">
        <f>IF(MOD(MATCH(BD$6,'Planning data'!$R$3:$R$89,1),2)=0,""," ")</f>
        <v/>
      </c>
      <c r="BE24" s="435" t="str">
        <f>IF(MOD(MATCH(BE$6,'Planning data'!$R$3:$R$89,1),2)=0,""," ")</f>
        <v/>
      </c>
      <c r="BF24" s="435" t="str">
        <f>IF(MOD(MATCH(BF$6,'Planning data'!$R$3:$R$89,1),2)=0,""," ")</f>
        <v/>
      </c>
      <c r="BG24" s="435" t="str">
        <f>IF(MOD(MATCH(BG$6,'Planning data'!$R$3:$R$89,1),2)=0,""," ")</f>
        <v/>
      </c>
      <c r="BH24" s="435" t="str">
        <f>IF(MOD(MATCH(BH$6,'Planning data'!$R$3:$R$89,1),2)=0,""," ")</f>
        <v/>
      </c>
      <c r="BI24" s="435" t="str">
        <f>IF(MOD(MATCH(BI$6,'Planning data'!$R$3:$R$89,1),2)=0,""," ")</f>
        <v/>
      </c>
      <c r="BJ24" s="435" t="e">
        <f>IF(MOD(MATCH(BJ$6,'Planning data'!$R$3:$R$89,1),2)=0,""," ")</f>
        <v>#N/A</v>
      </c>
      <c r="BK24" s="435" t="e">
        <f>IF(MOD(MATCH(BK$6,'Planning data'!$R$3:$R$89,1),2)=0,""," ")</f>
        <v>#N/A</v>
      </c>
      <c r="BL24" s="435" t="e">
        <f>IF(MOD(MATCH(BL$6,'Planning data'!$R$3:$R$89,1),2)=0,""," ")</f>
        <v>#N/A</v>
      </c>
      <c r="BM24" s="453"/>
    </row>
    <row r="25" spans="1:66" s="425" customFormat="1" ht="50" customHeight="1" x14ac:dyDescent="0.15">
      <c r="A25" s="448"/>
      <c r="B25" s="468" t="str">
        <f>'Planning data'!U2</f>
        <v>N°18</v>
      </c>
      <c r="C25" s="435" t="str">
        <f>IF(MOD(MATCH(C$6,'Planning data'!$S$3:$S$89,1),2)=0,""," ")</f>
        <v/>
      </c>
      <c r="D25" s="435" t="str">
        <f>IF(MOD(MATCH(D$6,'Planning data'!$S$3:$S$89,1),2)=0,""," ")</f>
        <v/>
      </c>
      <c r="E25" s="435" t="str">
        <f>IF(MOD(MATCH(E$6,'Planning data'!$S$3:$S$89,1),2)=0,""," ")</f>
        <v/>
      </c>
      <c r="F25" s="435" t="str">
        <f>IF(MOD(MATCH(F$6,'Planning data'!$S$3:$S$89,1),2)=0,""," ")</f>
        <v/>
      </c>
      <c r="G25" s="435" t="str">
        <f>IF(MOD(MATCH(G$6,'Planning data'!$S$3:$S$89,1),2)=0,""," ")</f>
        <v/>
      </c>
      <c r="H25" s="435" t="str">
        <f>IF(MOD(MATCH(H$6,'Planning data'!$S$3:$S$89,1),2)=0,""," ")</f>
        <v/>
      </c>
      <c r="I25" s="435" t="str">
        <f>IF(MOD(MATCH(I$6,'Planning data'!$S$3:$S$89,1),2)=0,""," ")</f>
        <v/>
      </c>
      <c r="J25" s="435" t="str">
        <f>IF(MOD(MATCH(J$6,'Planning data'!$S$3:$S$89,1),2)=0,""," ")</f>
        <v/>
      </c>
      <c r="K25" s="435" t="str">
        <f>IF(MOD(MATCH(K$6,'Planning data'!$S$3:$S$89,1),2)=0,""," ")</f>
        <v/>
      </c>
      <c r="L25" s="435" t="str">
        <f>IF(MOD(MATCH(L$6,'Planning data'!$S$3:$S$89,1),2)=0,""," ")</f>
        <v/>
      </c>
      <c r="M25" s="435" t="str">
        <f>IF(MOD(MATCH(M$6,'Planning data'!$S$3:$S$89,1),2)=0,""," ")</f>
        <v/>
      </c>
      <c r="N25" s="435" t="str">
        <f>IF(MOD(MATCH(N$6,'Planning data'!$S$3:$S$89,1),2)=0,""," ")</f>
        <v/>
      </c>
      <c r="O25" s="435" t="str">
        <f>IF(MOD(MATCH(O$6,'Planning data'!$S$3:$S$89,1),2)=0,""," ")</f>
        <v/>
      </c>
      <c r="P25" s="435" t="str">
        <f>IF(MOD(MATCH(P$6,'Planning data'!$S$3:$S$89,1),2)=0,""," ")</f>
        <v/>
      </c>
      <c r="Q25" s="435" t="str">
        <f>IF(MOD(MATCH(Q$6,'Planning data'!$S$3:$S$89,1),2)=0,""," ")</f>
        <v/>
      </c>
      <c r="R25" s="435" t="str">
        <f>IF(MOD(MATCH(R$6,'Planning data'!$S$3:$S$89,1),2)=0,""," ")</f>
        <v/>
      </c>
      <c r="S25" s="435" t="str">
        <f>IF(MOD(MATCH(S$6,'Planning data'!$S$3:$S$89,1),2)=0,""," ")</f>
        <v/>
      </c>
      <c r="T25" s="435" t="str">
        <f>IF(MOD(MATCH(T$6,'Planning data'!$S$3:$S$89,1),2)=0,""," ")</f>
        <v/>
      </c>
      <c r="U25" s="435" t="str">
        <f>IF(MOD(MATCH(U$6,'Planning data'!$S$3:$S$89,1),2)=0,""," ")</f>
        <v/>
      </c>
      <c r="V25" s="435" t="str">
        <f>IF(MOD(MATCH(V$6,'Planning data'!$S$3:$S$89,1),2)=0,""," ")</f>
        <v/>
      </c>
      <c r="W25" s="435" t="str">
        <f>IF(MOD(MATCH(W$6,'Planning data'!$S$3:$S$89,1),2)=0,""," ")</f>
        <v/>
      </c>
      <c r="X25" s="435" t="str">
        <f>IF(MOD(MATCH(X$6,'Planning data'!$S$3:$S$89,1),2)=0,""," ")</f>
        <v/>
      </c>
      <c r="Y25" s="435" t="str">
        <f>IF(MOD(MATCH(Y$6,'Planning data'!$S$3:$S$89,1),2)=0,""," ")</f>
        <v/>
      </c>
      <c r="Z25" s="435" t="str">
        <f>IF(MOD(MATCH(Z$6,'Planning data'!$S$3:$S$89,1),2)=0,""," ")</f>
        <v/>
      </c>
      <c r="AA25" s="435" t="str">
        <f>IF(MOD(MATCH(AA$6,'Planning data'!$S$3:$S$89,1),2)=0,""," ")</f>
        <v/>
      </c>
      <c r="AB25" s="435" t="str">
        <f>IF(MOD(MATCH(AB$6,'Planning data'!$S$3:$S$89,1),2)=0,""," ")</f>
        <v/>
      </c>
      <c r="AC25" s="435" t="str">
        <f>IF(MOD(MATCH(AC$6,'Planning data'!$S$3:$S$89,1),2)=0,""," ")</f>
        <v/>
      </c>
      <c r="AD25" s="435" t="str">
        <f>IF(MOD(MATCH(AD$6,'Planning data'!$S$3:$S$89,1),2)=0,""," ")</f>
        <v/>
      </c>
      <c r="AE25" s="435" t="str">
        <f>IF(MOD(MATCH(AE$6,'Planning data'!$S$3:$S$89,1),2)=0,""," ")</f>
        <v/>
      </c>
      <c r="AF25" s="435" t="str">
        <f>IF(MOD(MATCH(AF$6,'Planning data'!$S$3:$S$89,1),2)=0,""," ")</f>
        <v/>
      </c>
      <c r="AG25" s="435" t="str">
        <f>IF(MOD(MATCH(AG$6,'Planning data'!$S$3:$S$89,1),2)=0,""," ")</f>
        <v/>
      </c>
      <c r="AH25" s="435" t="str">
        <f>IF(MOD(MATCH(AH$6,'Planning data'!$S$3:$S$89,1),2)=0,""," ")</f>
        <v/>
      </c>
      <c r="AI25" s="435" t="str">
        <f>IF(MOD(MATCH(AI$6,'Planning data'!$S$3:$S$89,1),2)=0,""," ")</f>
        <v/>
      </c>
      <c r="AJ25" s="435" t="str">
        <f>IF(MOD(MATCH(AJ$6,'Planning data'!$S$3:$S$89,1),2)=0,""," ")</f>
        <v/>
      </c>
      <c r="AK25" s="435" t="str">
        <f>IF(MOD(MATCH(AK$6,'Planning data'!$S$3:$S$89,1),2)=0,""," ")</f>
        <v/>
      </c>
      <c r="AL25" s="435" t="str">
        <f>IF(MOD(MATCH(AL$6,'Planning data'!$S$3:$S$89,1),2)=0,""," ")</f>
        <v/>
      </c>
      <c r="AM25" s="435" t="str">
        <f>IF(MOD(MATCH(AM$6,'Planning data'!$S$3:$S$89,1),2)=0,""," ")</f>
        <v/>
      </c>
      <c r="AN25" s="435" t="str">
        <f>IF(MOD(MATCH(AN$6,'Planning data'!$S$3:$S$89,1),2)=0,""," ")</f>
        <v/>
      </c>
      <c r="AO25" s="435" t="str">
        <f>IF(MOD(MATCH(AO$6,'Planning data'!$S$3:$S$89,1),2)=0,""," ")</f>
        <v/>
      </c>
      <c r="AP25" s="435" t="str">
        <f>IF(MOD(MATCH(AP$6,'Planning data'!$S$3:$S$89,1),2)=0,""," ")</f>
        <v/>
      </c>
      <c r="AQ25" s="435" t="str">
        <f>IF(MOD(MATCH(AQ$6,'Planning data'!$S$3:$S$89,1),2)=0,""," ")</f>
        <v/>
      </c>
      <c r="AR25" s="435" t="str">
        <f>IF(MOD(MATCH(AR$6,'Planning data'!$S$3:$S$89,1),2)=0,""," ")</f>
        <v/>
      </c>
      <c r="AS25" s="435" t="str">
        <f>IF(MOD(MATCH(AS$6,'Planning data'!$S$3:$S$89,1),2)=0,""," ")</f>
        <v/>
      </c>
      <c r="AT25" s="435" t="str">
        <f>IF(MOD(MATCH(AT$6,'Planning data'!$S$3:$S$89,1),2)=0,""," ")</f>
        <v/>
      </c>
      <c r="AU25" s="435" t="str">
        <f>IF(MOD(MATCH(AU$6,'Planning data'!$S$3:$S$89,1),2)=0,""," ")</f>
        <v/>
      </c>
      <c r="AV25" s="435" t="str">
        <f>IF(MOD(MATCH(AV$6,'Planning data'!$S$3:$S$89,1),2)=0,""," ")</f>
        <v/>
      </c>
      <c r="AW25" s="435" t="str">
        <f>IF(MOD(MATCH(AW$6,'Planning data'!$S$3:$S$89,1),2)=0,""," ")</f>
        <v/>
      </c>
      <c r="AX25" s="435" t="str">
        <f>IF(MOD(MATCH(AX$6,'Planning data'!$S$3:$S$89,1),2)=0,""," ")</f>
        <v/>
      </c>
      <c r="AY25" s="435" t="str">
        <f>IF(MOD(MATCH(AY$6,'Planning data'!$S$3:$S$89,1),2)=0,""," ")</f>
        <v/>
      </c>
      <c r="AZ25" s="435" t="str">
        <f>IF(MOD(MATCH(AZ$6,'Planning data'!$S$3:$S$89,1),2)=0,""," ")</f>
        <v/>
      </c>
      <c r="BA25" s="435" t="str">
        <f>IF(MOD(MATCH(BA$6,'Planning data'!$S$3:$S$89,1),2)=0,""," ")</f>
        <v/>
      </c>
      <c r="BB25" s="435" t="str">
        <f>IF(MOD(MATCH(BB$6,'Planning data'!$S$3:$S$89,1),2)=0,""," ")</f>
        <v/>
      </c>
      <c r="BC25" s="435" t="str">
        <f>IF(MOD(MATCH(BC$6,'Planning data'!$S$3:$S$89,1),2)=0,""," ")</f>
        <v/>
      </c>
      <c r="BD25" s="435" t="str">
        <f>IF(MOD(MATCH(BD$6,'Planning data'!$S$3:$S$89,1),2)=0,""," ")</f>
        <v/>
      </c>
      <c r="BE25" s="435" t="str">
        <f>IF(MOD(MATCH(BE$6,'Planning data'!$S$3:$S$89,1),2)=0,""," ")</f>
        <v/>
      </c>
      <c r="BF25" s="435" t="str">
        <f>IF(MOD(MATCH(BF$6,'Planning data'!$S$3:$S$89,1),2)=0,""," ")</f>
        <v/>
      </c>
      <c r="BG25" s="435" t="str">
        <f>IF(MOD(MATCH(BG$6,'Planning data'!$S$3:$S$89,1),2)=0,""," ")</f>
        <v/>
      </c>
      <c r="BH25" s="435" t="str">
        <f>IF(MOD(MATCH(BH$6,'Planning data'!$S$3:$S$89,1),2)=0,""," ")</f>
        <v/>
      </c>
      <c r="BI25" s="435" t="str">
        <f>IF(MOD(MATCH(BI$6,'Planning data'!$S$3:$S$89,1),2)=0,""," ")</f>
        <v/>
      </c>
      <c r="BJ25" s="435" t="e">
        <f>IF(MOD(MATCH(BJ$6,'Planning data'!$S$3:$S$89,1),2)=0,""," ")</f>
        <v>#N/A</v>
      </c>
      <c r="BK25" s="435" t="e">
        <f>IF(MOD(MATCH(BK$6,'Planning data'!$S$3:$S$89,1),2)=0,""," ")</f>
        <v>#N/A</v>
      </c>
      <c r="BL25" s="435" t="e">
        <f>IF(MOD(MATCH(BL$6,'Planning data'!$S$3:$S$89,1),2)=0,""," ")</f>
        <v>#N/A</v>
      </c>
      <c r="BM25" s="453"/>
    </row>
    <row r="26" spans="1:66" s="425" customFormat="1" ht="50" customHeight="1" x14ac:dyDescent="0.15">
      <c r="A26" s="448"/>
      <c r="B26" s="468" t="str">
        <f>'Planning data'!V2</f>
        <v>N°19</v>
      </c>
      <c r="C26" s="435" t="str">
        <f>IF(MOD(MATCH(C$6,'Planning data'!$T$3:$T$89,1),2)=0,""," ")</f>
        <v/>
      </c>
      <c r="D26" s="435" t="str">
        <f>IF(MOD(MATCH(D$6,'Planning data'!$T$3:$T$89,1),2)=0,""," ")</f>
        <v/>
      </c>
      <c r="E26" s="435" t="str">
        <f>IF(MOD(MATCH(E$6,'Planning data'!$T$3:$T$89,1),2)=0,""," ")</f>
        <v/>
      </c>
      <c r="F26" s="435" t="str">
        <f>IF(MOD(MATCH(F$6,'Planning data'!$T$3:$T$89,1),2)=0,""," ")</f>
        <v/>
      </c>
      <c r="G26" s="435" t="str">
        <f>IF(MOD(MATCH(G$6,'Planning data'!$T$3:$T$89,1),2)=0,""," ")</f>
        <v/>
      </c>
      <c r="H26" s="435" t="str">
        <f>IF(MOD(MATCH(H$6,'Planning data'!$T$3:$T$89,1),2)=0,""," ")</f>
        <v/>
      </c>
      <c r="I26" s="435" t="str">
        <f>IF(MOD(MATCH(I$6,'Planning data'!$T$3:$T$89,1),2)=0,""," ")</f>
        <v/>
      </c>
      <c r="J26" s="435" t="str">
        <f>IF(MOD(MATCH(J$6,'Planning data'!$T$3:$T$89,1),2)=0,""," ")</f>
        <v/>
      </c>
      <c r="K26" s="435" t="str">
        <f>IF(MOD(MATCH(K$6,'Planning data'!$T$3:$T$89,1),2)=0,""," ")</f>
        <v/>
      </c>
      <c r="L26" s="435" t="str">
        <f>IF(MOD(MATCH(L$6,'Planning data'!$T$3:$T$89,1),2)=0,""," ")</f>
        <v/>
      </c>
      <c r="M26" s="435" t="str">
        <f>IF(MOD(MATCH(M$6,'Planning data'!$T$3:$T$89,1),2)=0,""," ")</f>
        <v/>
      </c>
      <c r="N26" s="435" t="str">
        <f>IF(MOD(MATCH(N$6,'Planning data'!$T$3:$T$89,1),2)=0,""," ")</f>
        <v/>
      </c>
      <c r="O26" s="435" t="str">
        <f>IF(MOD(MATCH(O$6,'Planning data'!$T$3:$T$89,1),2)=0,""," ")</f>
        <v/>
      </c>
      <c r="P26" s="435" t="str">
        <f>IF(MOD(MATCH(P$6,'Planning data'!$T$3:$T$89,1),2)=0,""," ")</f>
        <v/>
      </c>
      <c r="Q26" s="435" t="str">
        <f>IF(MOD(MATCH(Q$6,'Planning data'!$T$3:$T$89,1),2)=0,""," ")</f>
        <v/>
      </c>
      <c r="R26" s="435" t="str">
        <f>IF(MOD(MATCH(R$6,'Planning data'!$T$3:$T$89,1),2)=0,""," ")</f>
        <v/>
      </c>
      <c r="S26" s="435" t="str">
        <f>IF(MOD(MATCH(S$6,'Planning data'!$T$3:$T$89,1),2)=0,""," ")</f>
        <v/>
      </c>
      <c r="T26" s="435" t="str">
        <f>IF(MOD(MATCH(T$6,'Planning data'!$T$3:$T$89,1),2)=0,""," ")</f>
        <v/>
      </c>
      <c r="U26" s="435" t="str">
        <f>IF(MOD(MATCH(U$6,'Planning data'!$T$3:$T$89,1),2)=0,""," ")</f>
        <v/>
      </c>
      <c r="V26" s="435" t="str">
        <f>IF(MOD(MATCH(V$6,'Planning data'!$T$3:$T$89,1),2)=0,""," ")</f>
        <v/>
      </c>
      <c r="W26" s="435" t="str">
        <f>IF(MOD(MATCH(W$6,'Planning data'!$T$3:$T$89,1),2)=0,""," ")</f>
        <v/>
      </c>
      <c r="X26" s="435" t="str">
        <f>IF(MOD(MATCH(X$6,'Planning data'!$T$3:$T$89,1),2)=0,""," ")</f>
        <v/>
      </c>
      <c r="Y26" s="435" t="str">
        <f>IF(MOD(MATCH(Y$6,'Planning data'!$T$3:$T$89,1),2)=0,""," ")</f>
        <v/>
      </c>
      <c r="Z26" s="435" t="str">
        <f>IF(MOD(MATCH(Z$6,'Planning data'!$T$3:$T$89,1),2)=0,""," ")</f>
        <v/>
      </c>
      <c r="AA26" s="435" t="str">
        <f>IF(MOD(MATCH(AA$6,'Planning data'!$T$3:$T$89,1),2)=0,""," ")</f>
        <v/>
      </c>
      <c r="AB26" s="435" t="str">
        <f>IF(MOD(MATCH(AB$6,'Planning data'!$T$3:$T$89,1),2)=0,""," ")</f>
        <v/>
      </c>
      <c r="AC26" s="435" t="str">
        <f>IF(MOD(MATCH(AC$6,'Planning data'!$T$3:$T$89,1),2)=0,""," ")</f>
        <v/>
      </c>
      <c r="AD26" s="435" t="str">
        <f>IF(MOD(MATCH(AD$6,'Planning data'!$T$3:$T$89,1),2)=0,""," ")</f>
        <v/>
      </c>
      <c r="AE26" s="435" t="str">
        <f>IF(MOD(MATCH(AE$6,'Planning data'!$T$3:$T$89,1),2)=0,""," ")</f>
        <v/>
      </c>
      <c r="AF26" s="435" t="str">
        <f>IF(MOD(MATCH(AF$6,'Planning data'!$T$3:$T$89,1),2)=0,""," ")</f>
        <v/>
      </c>
      <c r="AG26" s="435" t="str">
        <f>IF(MOD(MATCH(AG$6,'Planning data'!$T$3:$T$89,1),2)=0,""," ")</f>
        <v/>
      </c>
      <c r="AH26" s="435" t="str">
        <f>IF(MOD(MATCH(AH$6,'Planning data'!$T$3:$T$89,1),2)=0,""," ")</f>
        <v/>
      </c>
      <c r="AI26" s="435" t="str">
        <f>IF(MOD(MATCH(AI$6,'Planning data'!$T$3:$T$89,1),2)=0,""," ")</f>
        <v/>
      </c>
      <c r="AJ26" s="435" t="str">
        <f>IF(MOD(MATCH(AJ$6,'Planning data'!$T$3:$T$89,1),2)=0,""," ")</f>
        <v/>
      </c>
      <c r="AK26" s="435" t="str">
        <f>IF(MOD(MATCH(AK$6,'Planning data'!$T$3:$T$89,1),2)=0,""," ")</f>
        <v/>
      </c>
      <c r="AL26" s="435" t="str">
        <f>IF(MOD(MATCH(AL$6,'Planning data'!$T$3:$T$89,1),2)=0,""," ")</f>
        <v/>
      </c>
      <c r="AM26" s="435" t="str">
        <f>IF(MOD(MATCH(AM$6,'Planning data'!$T$3:$T$89,1),2)=0,""," ")</f>
        <v/>
      </c>
      <c r="AN26" s="435" t="str">
        <f>IF(MOD(MATCH(AN$6,'Planning data'!$T$3:$T$89,1),2)=0,""," ")</f>
        <v/>
      </c>
      <c r="AO26" s="435" t="str">
        <f>IF(MOD(MATCH(AO$6,'Planning data'!$T$3:$T$89,1),2)=0,""," ")</f>
        <v/>
      </c>
      <c r="AP26" s="435" t="str">
        <f>IF(MOD(MATCH(AP$6,'Planning data'!$T$3:$T$89,1),2)=0,""," ")</f>
        <v/>
      </c>
      <c r="AQ26" s="435" t="str">
        <f>IF(MOD(MATCH(AQ$6,'Planning data'!$T$3:$T$89,1),2)=0,""," ")</f>
        <v/>
      </c>
      <c r="AR26" s="435" t="str">
        <f>IF(MOD(MATCH(AR$6,'Planning data'!$T$3:$T$89,1),2)=0,""," ")</f>
        <v/>
      </c>
      <c r="AS26" s="435" t="str">
        <f>IF(MOD(MATCH(AS$6,'Planning data'!$T$3:$T$89,1),2)=0,""," ")</f>
        <v/>
      </c>
      <c r="AT26" s="435" t="str">
        <f>IF(MOD(MATCH(AT$6,'Planning data'!$T$3:$T$89,1),2)=0,""," ")</f>
        <v/>
      </c>
      <c r="AU26" s="435" t="str">
        <f>IF(MOD(MATCH(AU$6,'Planning data'!$T$3:$T$89,1),2)=0,""," ")</f>
        <v/>
      </c>
      <c r="AV26" s="435" t="str">
        <f>IF(MOD(MATCH(AV$6,'Planning data'!$T$3:$T$89,1),2)=0,""," ")</f>
        <v/>
      </c>
      <c r="AW26" s="435" t="str">
        <f>IF(MOD(MATCH(AW$6,'Planning data'!$T$3:$T$89,1),2)=0,""," ")</f>
        <v/>
      </c>
      <c r="AX26" s="435" t="str">
        <f>IF(MOD(MATCH(AX$6,'Planning data'!$T$3:$T$89,1),2)=0,""," ")</f>
        <v/>
      </c>
      <c r="AY26" s="435" t="str">
        <f>IF(MOD(MATCH(AY$6,'Planning data'!$T$3:$T$89,1),2)=0,""," ")</f>
        <v/>
      </c>
      <c r="AZ26" s="435" t="str">
        <f>IF(MOD(MATCH(AZ$6,'Planning data'!$T$3:$T$89,1),2)=0,""," ")</f>
        <v/>
      </c>
      <c r="BA26" s="435" t="str">
        <f>IF(MOD(MATCH(BA$6,'Planning data'!$T$3:$T$89,1),2)=0,""," ")</f>
        <v/>
      </c>
      <c r="BB26" s="435" t="str">
        <f>IF(MOD(MATCH(BB$6,'Planning data'!$T$3:$T$89,1),2)=0,""," ")</f>
        <v/>
      </c>
      <c r="BC26" s="435" t="str">
        <f>IF(MOD(MATCH(BC$6,'Planning data'!$T$3:$T$89,1),2)=0,""," ")</f>
        <v/>
      </c>
      <c r="BD26" s="435" t="str">
        <f>IF(MOD(MATCH(BD$6,'Planning data'!$T$3:$T$89,1),2)=0,""," ")</f>
        <v/>
      </c>
      <c r="BE26" s="435" t="str">
        <f>IF(MOD(MATCH(BE$6,'Planning data'!$T$3:$T$89,1),2)=0,""," ")</f>
        <v/>
      </c>
      <c r="BF26" s="435" t="str">
        <f>IF(MOD(MATCH(BF$6,'Planning data'!$T$3:$T$89,1),2)=0,""," ")</f>
        <v/>
      </c>
      <c r="BG26" s="435" t="str">
        <f>IF(MOD(MATCH(BG$6,'Planning data'!$T$3:$T$89,1),2)=0,""," ")</f>
        <v/>
      </c>
      <c r="BH26" s="435" t="str">
        <f>IF(MOD(MATCH(BH$6,'Planning data'!$T$3:$T$89,1),2)=0,""," ")</f>
        <v/>
      </c>
      <c r="BI26" s="435" t="str">
        <f>IF(MOD(MATCH(BI$6,'Planning data'!$T$3:$T$89,1),2)=0,""," ")</f>
        <v/>
      </c>
      <c r="BJ26" s="435" t="e">
        <f>IF(MOD(MATCH(BJ$6,'Planning data'!$T$3:$T$89,1),2)=0,""," ")</f>
        <v>#N/A</v>
      </c>
      <c r="BK26" s="435" t="e">
        <f>IF(MOD(MATCH(BK$6,'Planning data'!$T$3:$T$89,1),2)=0,""," ")</f>
        <v>#N/A</v>
      </c>
      <c r="BL26" s="435" t="e">
        <f>IF(MOD(MATCH(BL$6,'Planning data'!$T$3:$T$89,1),2)=0,""," ")</f>
        <v>#N/A</v>
      </c>
      <c r="BM26" s="453"/>
    </row>
    <row r="27" spans="1:66" s="425" customFormat="1" ht="50" customHeight="1" x14ac:dyDescent="0.15">
      <c r="A27" s="448"/>
      <c r="B27" s="468" t="str">
        <f>'Planning data'!W2</f>
        <v>N°20</v>
      </c>
      <c r="C27" s="435" t="str">
        <f>IF(MOD(MATCH(C$6,'Planning data'!$U$3:$U$89,1),2)=0,""," ")</f>
        <v/>
      </c>
      <c r="D27" s="435" t="str">
        <f>IF(MOD(MATCH(D$6,'Planning data'!$U$3:$U$89,1),2)=0,""," ")</f>
        <v/>
      </c>
      <c r="E27" s="435" t="str">
        <f>IF(MOD(MATCH(E$6,'Planning data'!$U$3:$U$89,1),2)=0,""," ")</f>
        <v/>
      </c>
      <c r="F27" s="435" t="str">
        <f>IF(MOD(MATCH(F$6,'Planning data'!$U$3:$U$89,1),2)=0,""," ")</f>
        <v/>
      </c>
      <c r="G27" s="435" t="str">
        <f>IF(MOD(MATCH(G$6,'Planning data'!$U$3:$U$89,1),2)=0,""," ")</f>
        <v/>
      </c>
      <c r="H27" s="435" t="str">
        <f>IF(MOD(MATCH(H$6,'Planning data'!$U$3:$U$89,1),2)=0,""," ")</f>
        <v/>
      </c>
      <c r="I27" s="435" t="str">
        <f>IF(MOD(MATCH(I$6,'Planning data'!$U$3:$U$89,1),2)=0,""," ")</f>
        <v/>
      </c>
      <c r="J27" s="435" t="str">
        <f>IF(MOD(MATCH(J$6,'Planning data'!$U$3:$U$89,1),2)=0,""," ")</f>
        <v/>
      </c>
      <c r="K27" s="435" t="str">
        <f>IF(MOD(MATCH(K$6,'Planning data'!$U$3:$U$89,1),2)=0,""," ")</f>
        <v/>
      </c>
      <c r="L27" s="435" t="str">
        <f>IF(MOD(MATCH(L$6,'Planning data'!$U$3:$U$89,1),2)=0,""," ")</f>
        <v/>
      </c>
      <c r="M27" s="435" t="str">
        <f>IF(MOD(MATCH(M$6,'Planning data'!$U$3:$U$89,1),2)=0,""," ")</f>
        <v/>
      </c>
      <c r="N27" s="435" t="str">
        <f>IF(MOD(MATCH(N$6,'Planning data'!$U$3:$U$89,1),2)=0,""," ")</f>
        <v/>
      </c>
      <c r="O27" s="435" t="str">
        <f>IF(MOD(MATCH(O$6,'Planning data'!$U$3:$U$89,1),2)=0,""," ")</f>
        <v/>
      </c>
      <c r="P27" s="435" t="str">
        <f>IF(MOD(MATCH(P$6,'Planning data'!$U$3:$U$89,1),2)=0,""," ")</f>
        <v/>
      </c>
      <c r="Q27" s="435" t="str">
        <f>IF(MOD(MATCH(Q$6,'Planning data'!$U$3:$U$89,1),2)=0,""," ")</f>
        <v/>
      </c>
      <c r="R27" s="435" t="str">
        <f>IF(MOD(MATCH(R$6,'Planning data'!$U$3:$U$89,1),2)=0,""," ")</f>
        <v/>
      </c>
      <c r="S27" s="435" t="str">
        <f>IF(MOD(MATCH(S$6,'Planning data'!$U$3:$U$89,1),2)=0,""," ")</f>
        <v/>
      </c>
      <c r="T27" s="435" t="str">
        <f>IF(MOD(MATCH(T$6,'Planning data'!$U$3:$U$89,1),2)=0,""," ")</f>
        <v/>
      </c>
      <c r="U27" s="435" t="str">
        <f>IF(MOD(MATCH(U$6,'Planning data'!$U$3:$U$89,1),2)=0,""," ")</f>
        <v/>
      </c>
      <c r="V27" s="435" t="str">
        <f>IF(MOD(MATCH(V$6,'Planning data'!$U$3:$U$89,1),2)=0,""," ")</f>
        <v/>
      </c>
      <c r="W27" s="435" t="str">
        <f>IF(MOD(MATCH(W$6,'Planning data'!$U$3:$U$89,1),2)=0,""," ")</f>
        <v/>
      </c>
      <c r="X27" s="435" t="str">
        <f>IF(MOD(MATCH(X$6,'Planning data'!$U$3:$U$89,1),2)=0,""," ")</f>
        <v/>
      </c>
      <c r="Y27" s="435" t="str">
        <f>IF(MOD(MATCH(Y$6,'Planning data'!$U$3:$U$89,1),2)=0,""," ")</f>
        <v/>
      </c>
      <c r="Z27" s="435" t="str">
        <f>IF(MOD(MATCH(Z$6,'Planning data'!$U$3:$U$89,1),2)=0,""," ")</f>
        <v/>
      </c>
      <c r="AA27" s="435" t="str">
        <f>IF(MOD(MATCH(AA$6,'Planning data'!$U$3:$U$89,1),2)=0,""," ")</f>
        <v/>
      </c>
      <c r="AB27" s="435" t="str">
        <f>IF(MOD(MATCH(AB$6,'Planning data'!$U$3:$U$89,1),2)=0,""," ")</f>
        <v/>
      </c>
      <c r="AC27" s="435" t="str">
        <f>IF(MOD(MATCH(AC$6,'Planning data'!$U$3:$U$89,1),2)=0,""," ")</f>
        <v/>
      </c>
      <c r="AD27" s="435" t="str">
        <f>IF(MOD(MATCH(AD$6,'Planning data'!$U$3:$U$89,1),2)=0,""," ")</f>
        <v/>
      </c>
      <c r="AE27" s="435" t="str">
        <f>IF(MOD(MATCH(AE$6,'Planning data'!$U$3:$U$89,1),2)=0,""," ")</f>
        <v/>
      </c>
      <c r="AF27" s="435" t="str">
        <f>IF(MOD(MATCH(AF$6,'Planning data'!$U$3:$U$89,1),2)=0,""," ")</f>
        <v/>
      </c>
      <c r="AG27" s="435" t="str">
        <f>IF(MOD(MATCH(AG$6,'Planning data'!$U$3:$U$89,1),2)=0,""," ")</f>
        <v/>
      </c>
      <c r="AH27" s="435" t="str">
        <f>IF(MOD(MATCH(AH$6,'Planning data'!$U$3:$U$89,1),2)=0,""," ")</f>
        <v/>
      </c>
      <c r="AI27" s="435" t="str">
        <f>IF(MOD(MATCH(AI$6,'Planning data'!$U$3:$U$89,1),2)=0,""," ")</f>
        <v/>
      </c>
      <c r="AJ27" s="435" t="str">
        <f>IF(MOD(MATCH(AJ$6,'Planning data'!$U$3:$U$89,1),2)=0,""," ")</f>
        <v/>
      </c>
      <c r="AK27" s="435" t="str">
        <f>IF(MOD(MATCH(AK$6,'Planning data'!$U$3:$U$89,1),2)=0,""," ")</f>
        <v/>
      </c>
      <c r="AL27" s="435" t="str">
        <f>IF(MOD(MATCH(AL$6,'Planning data'!$U$3:$U$89,1),2)=0,""," ")</f>
        <v/>
      </c>
      <c r="AM27" s="435" t="str">
        <f>IF(MOD(MATCH(AM$6,'Planning data'!$U$3:$U$89,1),2)=0,""," ")</f>
        <v/>
      </c>
      <c r="AN27" s="435" t="str">
        <f>IF(MOD(MATCH(AN$6,'Planning data'!$U$3:$U$89,1),2)=0,""," ")</f>
        <v/>
      </c>
      <c r="AO27" s="435" t="str">
        <f>IF(MOD(MATCH(AO$6,'Planning data'!$U$3:$U$89,1),2)=0,""," ")</f>
        <v/>
      </c>
      <c r="AP27" s="435" t="str">
        <f>IF(MOD(MATCH(AP$6,'Planning data'!$U$3:$U$89,1),2)=0,""," ")</f>
        <v/>
      </c>
      <c r="AQ27" s="435" t="str">
        <f>IF(MOD(MATCH(AQ$6,'Planning data'!$U$3:$U$89,1),2)=0,""," ")</f>
        <v/>
      </c>
      <c r="AR27" s="435" t="str">
        <f>IF(MOD(MATCH(AR$6,'Planning data'!$U$3:$U$89,1),2)=0,""," ")</f>
        <v/>
      </c>
      <c r="AS27" s="435" t="str">
        <f>IF(MOD(MATCH(AS$6,'Planning data'!$U$3:$U$89,1),2)=0,""," ")</f>
        <v/>
      </c>
      <c r="AT27" s="435" t="str">
        <f>IF(MOD(MATCH(AT$6,'Planning data'!$U$3:$U$89,1),2)=0,""," ")</f>
        <v/>
      </c>
      <c r="AU27" s="435" t="str">
        <f>IF(MOD(MATCH(AU$6,'Planning data'!$U$3:$U$89,1),2)=0,""," ")</f>
        <v/>
      </c>
      <c r="AV27" s="435" t="str">
        <f>IF(MOD(MATCH(AV$6,'Planning data'!$U$3:$U$89,1),2)=0,""," ")</f>
        <v/>
      </c>
      <c r="AW27" s="435" t="str">
        <f>IF(MOD(MATCH(AW$6,'Planning data'!$U$3:$U$89,1),2)=0,""," ")</f>
        <v/>
      </c>
      <c r="AX27" s="435" t="str">
        <f>IF(MOD(MATCH(AX$6,'Planning data'!$U$3:$U$89,1),2)=0,""," ")</f>
        <v/>
      </c>
      <c r="AY27" s="435" t="str">
        <f>IF(MOD(MATCH(AY$6,'Planning data'!$U$3:$U$89,1),2)=0,""," ")</f>
        <v/>
      </c>
      <c r="AZ27" s="435" t="str">
        <f>IF(MOD(MATCH(AZ$6,'Planning data'!$U$3:$U$89,1),2)=0,""," ")</f>
        <v/>
      </c>
      <c r="BA27" s="435" t="str">
        <f>IF(MOD(MATCH(BA$6,'Planning data'!$U$3:$U$89,1),2)=0,""," ")</f>
        <v/>
      </c>
      <c r="BB27" s="435" t="str">
        <f>IF(MOD(MATCH(BB$6,'Planning data'!$U$3:$U$89,1),2)=0,""," ")</f>
        <v/>
      </c>
      <c r="BC27" s="435" t="str">
        <f>IF(MOD(MATCH(BC$6,'Planning data'!$U$3:$U$89,1),2)=0,""," ")</f>
        <v/>
      </c>
      <c r="BD27" s="435" t="str">
        <f>IF(MOD(MATCH(BD$6,'Planning data'!$U$3:$U$89,1),2)=0,""," ")</f>
        <v/>
      </c>
      <c r="BE27" s="435" t="str">
        <f>IF(MOD(MATCH(BE$6,'Planning data'!$U$3:$U$89,1),2)=0,""," ")</f>
        <v/>
      </c>
      <c r="BF27" s="435" t="str">
        <f>IF(MOD(MATCH(BF$6,'Planning data'!$U$3:$U$89,1),2)=0,""," ")</f>
        <v/>
      </c>
      <c r="BG27" s="435" t="str">
        <f>IF(MOD(MATCH(BG$6,'Planning data'!$U$3:$U$89,1),2)=0,""," ")</f>
        <v/>
      </c>
      <c r="BH27" s="435" t="str">
        <f>IF(MOD(MATCH(BH$6,'Planning data'!$U$3:$U$89,1),2)=0,""," ")</f>
        <v/>
      </c>
      <c r="BI27" s="435" t="str">
        <f>IF(MOD(MATCH(BI$6,'Planning data'!$U$3:$U$89,1),2)=0,""," ")</f>
        <v/>
      </c>
      <c r="BJ27" s="435" t="e">
        <f>IF(MOD(MATCH(BJ$6,'Planning data'!$U$3:$U$89,1),2)=0,""," ")</f>
        <v>#N/A</v>
      </c>
      <c r="BK27" s="435" t="e">
        <f>IF(MOD(MATCH(BK$6,'Planning data'!$U$3:$U$89,1),2)=0,""," ")</f>
        <v>#N/A</v>
      </c>
      <c r="BL27" s="435" t="e">
        <f>IF(MOD(MATCH(BL$6,'Planning data'!$U$3:$U$89,1),2)=0,""," ")</f>
        <v>#N/A</v>
      </c>
      <c r="BM27" s="453"/>
    </row>
    <row r="28" spans="1:66" s="424" customFormat="1" ht="24" customHeight="1" x14ac:dyDescent="0.15">
      <c r="A28" s="449"/>
      <c r="B28" s="436"/>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50"/>
    </row>
    <row r="29" spans="1:66" ht="12" customHeight="1" x14ac:dyDescent="0.15">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row>
    <row r="30" spans="1:66" s="427" customFormat="1" ht="28"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row>
    <row r="31" spans="1:66" s="427" customFormat="1" ht="2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row>
    <row r="32" spans="1:66"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row>
    <row r="33" spans="1:66" s="427" customFormat="1" ht="2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row>
    <row r="34" spans="1:66" ht="28" customHeight="1"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pans="1:66" ht="28" customHeight="1"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6" ht="28" customHeight="1"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6" ht="28" customHeight="1"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6" ht="28" customHeight="1"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66" ht="28" customHeight="1"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6" ht="28" customHeight="1"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6" ht="28" customHeight="1"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66" ht="28" customHeight="1"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1:66" ht="28" customHeight="1"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pans="1:66" ht="28" customHeight="1"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pans="1:66" ht="28" customHeight="1"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pans="1:66" ht="28" customHeight="1"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1:66" ht="28" customHeight="1"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row>
    <row r="48" spans="1:66" ht="28" customHeight="1"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row>
    <row r="49" spans="1:65" ht="28" customHeight="1"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row>
    <row r="50" spans="1:65" ht="28" customHeight="1"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row>
    <row r="51" spans="1:65" ht="28" customHeight="1"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row>
    <row r="52" spans="1:65" ht="28" customHeight="1"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row>
    <row r="53" spans="1:65" ht="20" customHeight="1"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pans="1:65" ht="31" customHeight="1"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5" spans="1:65" s="427" customFormat="1" ht="2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row>
    <row r="56" spans="1:65" s="427" customFormat="1" ht="2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row>
    <row r="57" spans="1:6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65" ht="28" customHeight="1"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65" ht="28" customHeight="1"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0" spans="1:65" ht="28" customHeight="1"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65" ht="28" customHeight="1"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2" spans="1:65" ht="28" customHeight="1"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65" ht="28" customHeight="1"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pans="1:65" ht="28" customHeight="1"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5" ht="28" customHeight="1"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65" ht="28" customHeight="1"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65" ht="28" customHeight="1"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65" ht="28" customHeight="1"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65" ht="28" customHeight="1" x14ac:dyDescent="0.1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65" ht="28" customHeight="1" x14ac:dyDescent="0.1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65" ht="28" customHeight="1" x14ac:dyDescent="0.1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pans="1:65" ht="28" customHeight="1" x14ac:dyDescent="0.1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pans="1:65" ht="28" customHeight="1" x14ac:dyDescent="0.1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4" spans="1:65" ht="28" customHeight="1" x14ac:dyDescent="0.1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5" spans="1:65" ht="28" customHeight="1" x14ac:dyDescent="0.1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pans="1:65" ht="28" customHeight="1" x14ac:dyDescent="0.1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7" spans="1:65" ht="28" customHeight="1" x14ac:dyDescent="0.1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pans="1:65" ht="20" customHeight="1" x14ac:dyDescent="0.1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79" spans="1:65" ht="31" customHeight="1" x14ac:dyDescent="0.1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row>
    <row r="80" spans="1:65" s="427" customFormat="1" ht="28" customHeight="1"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row>
    <row r="81" spans="1:65" s="427" customFormat="1" ht="28" customHeigh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row>
    <row r="82" spans="1:65" s="174" customFormat="1" ht="16"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row>
    <row r="83" spans="1:65" ht="28" customHeight="1" x14ac:dyDescent="0.1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row>
    <row r="84" spans="1:65" ht="28" customHeight="1" x14ac:dyDescent="0.1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65" ht="28" customHeight="1" x14ac:dyDescent="0.1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row>
    <row r="86" spans="1:65" ht="28" customHeight="1" x14ac:dyDescent="0.1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65" ht="28" customHeight="1" x14ac:dyDescent="0.1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65" ht="28" customHeight="1" x14ac:dyDescent="0.15">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row>
    <row r="89" spans="1:65" ht="28" customHeight="1" x14ac:dyDescent="0.15">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row>
    <row r="90" spans="1:65" ht="28" customHeight="1" x14ac:dyDescent="0.1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65" ht="28" customHeight="1" x14ac:dyDescent="0.1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pans="1:65" ht="28" customHeight="1" x14ac:dyDescent="0.1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row r="93" spans="1:65" ht="28" customHeight="1" x14ac:dyDescent="0.1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pans="1:65" ht="28" customHeight="1" x14ac:dyDescent="0.1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5" spans="1:65" ht="28" customHeight="1" x14ac:dyDescent="0.1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row>
    <row r="96" spans="1:65" ht="28" customHeight="1" x14ac:dyDescent="0.1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row>
    <row r="97" spans="2:64" ht="28" customHeight="1" x14ac:dyDescent="0.1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row>
    <row r="98" spans="2:64" ht="28" customHeight="1" x14ac:dyDescent="0.1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row>
    <row r="99" spans="2:64" ht="28" customHeight="1" x14ac:dyDescent="0.15">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row>
    <row r="100" spans="2:64" ht="28" customHeight="1" x14ac:dyDescent="0.1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row>
    <row r="101" spans="2:64" ht="28" customHeight="1" x14ac:dyDescent="0.1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row>
    <row r="102" spans="2:64" ht="28" customHeight="1" x14ac:dyDescent="0.1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row>
    <row r="103" spans="2:64" ht="18" customHeight="1" x14ac:dyDescent="0.1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row>
  </sheetData>
  <sheetProtection sheet="1" objects="1" scenarios="1" selectLockedCells="1" selectUnlockedCells="1"/>
  <mergeCells count="2">
    <mergeCell ref="AH2:BK2"/>
    <mergeCell ref="H2:AF2"/>
  </mergeCells>
  <phoneticPr fontId="7" type="noConversion"/>
  <conditionalFormatting sqref="C8:BL27">
    <cfRule type="cellIs" dxfId="72" priority="70" operator="equal">
      <formula>" "</formula>
    </cfRule>
  </conditionalFormatting>
  <conditionalFormatting sqref="C4:BL4">
    <cfRule type="expression" dxfId="71" priority="78">
      <formula>C5&lt;&gt;""</formula>
    </cfRule>
    <cfRule type="expression" dxfId="70" priority="79">
      <formula>MONTH(C6)&lt;&gt;MONTH(C6+1)</formula>
    </cfRule>
  </conditionalFormatting>
  <conditionalFormatting sqref="B4">
    <cfRule type="notContainsBlanks" dxfId="69" priority="67">
      <formula>LEN(TRIM(B4))&gt;0</formula>
    </cfRule>
  </conditionalFormatting>
  <conditionalFormatting sqref="C5:BL7">
    <cfRule type="expression" dxfId="68" priority="65">
      <formula>AND(WEEKDAY(C$6)&gt;=2,WEEKDAY(C$6)&lt;7)</formula>
    </cfRule>
  </conditionalFormatting>
  <conditionalFormatting sqref="C5:BL7">
    <cfRule type="expression" dxfId="67" priority="63">
      <formula>OR(C$7&lt;&gt;"",WEEKDAY(C$6)=1,WEEKDAY(C$6)=7)</formula>
    </cfRule>
  </conditionalFormatting>
  <conditionalFormatting sqref="C8:BL27">
    <cfRule type="expression" dxfId="66" priority="61">
      <formula>OR(C$7&lt;&gt;"",WEEKDAY(C$6)=1,WEEKDAY(C$6)=7)</formula>
    </cfRule>
    <cfRule type="expression" dxfId="65" priority="72">
      <formula>AND(WEEKDAY(C$6)&gt;=2,WEEKDAY(C$6)&lt;7)</formula>
    </cfRule>
  </conditionalFormatting>
  <printOptions horizontalCentered="1" verticalCentered="1"/>
  <pageMargins left="0.28000000000000003" right="0.28000000000000003" top="0.35000000000000003" bottom="0.35000000000000003" header="0.51" footer="0.51"/>
  <pageSetup paperSize="9" scale="35" fitToHeight="0" orientation="landscape" horizontalDpi="300" verticalDpi="300"/>
  <headerFooter alignWithMargins="0"/>
  <rowBreaks count="1" manualBreakCount="1">
    <brk id="53"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7169" r:id="rId3" name="Spinner 1">
              <controlPr defaultSize="0" autoPict="0">
                <anchor moveWithCells="1" sizeWithCells="1">
                  <from>
                    <xdr:col>2</xdr:col>
                    <xdr:colOff>76200</xdr:colOff>
                    <xdr:row>1</xdr:row>
                    <xdr:rowOff>139700</xdr:rowOff>
                  </from>
                  <to>
                    <xdr:col>4</xdr:col>
                    <xdr:colOff>279400</xdr:colOff>
                    <xdr:row>1</xdr:row>
                    <xdr:rowOff>825500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X89"/>
  <sheetViews>
    <sheetView zoomScale="87" zoomScaleNormal="87" zoomScalePageLayoutView="87" workbookViewId="0">
      <pane xSplit="3" ySplit="4" topLeftCell="D5" activePane="bottomRight" state="frozen"/>
      <selection pane="topRight" activeCell="D1" sqref="D1"/>
      <selection pane="bottomLeft" activeCell="A5" sqref="A5"/>
      <selection pane="bottomRight" activeCell="N30" sqref="N30"/>
    </sheetView>
  </sheetViews>
  <sheetFormatPr baseColWidth="10" defaultColWidth="10.83203125" defaultRowHeight="13" x14ac:dyDescent="0.15"/>
  <cols>
    <col min="1" max="1" width="2.1640625" customWidth="1"/>
    <col min="2" max="2" width="12.1640625" bestFit="1" customWidth="1"/>
    <col min="3" max="3" width="10.1640625" hidden="1" customWidth="1"/>
    <col min="4" max="23" width="10.5" customWidth="1"/>
    <col min="24" max="24" width="10.1640625" customWidth="1"/>
  </cols>
  <sheetData>
    <row r="1" spans="2:24" ht="14" thickBot="1" x14ac:dyDescent="0.2"/>
    <row r="2" spans="2:24" ht="43" customHeight="1" x14ac:dyDescent="0.15">
      <c r="B2" s="477"/>
      <c r="C2" s="470"/>
      <c r="D2" s="479" t="s">
        <v>559</v>
      </c>
      <c r="E2" s="480" t="s">
        <v>560</v>
      </c>
      <c r="F2" s="480" t="s">
        <v>557</v>
      </c>
      <c r="G2" s="480" t="s">
        <v>558</v>
      </c>
      <c r="H2" s="480" t="s">
        <v>561</v>
      </c>
      <c r="I2" s="479" t="s">
        <v>562</v>
      </c>
      <c r="J2" s="481" t="s">
        <v>550</v>
      </c>
      <c r="K2" s="481" t="s">
        <v>549</v>
      </c>
      <c r="L2" s="481" t="s">
        <v>548</v>
      </c>
      <c r="M2" s="481" t="s">
        <v>547</v>
      </c>
      <c r="N2" s="481" t="s">
        <v>546</v>
      </c>
      <c r="O2" s="481" t="s">
        <v>545</v>
      </c>
      <c r="P2" s="481" t="s">
        <v>544</v>
      </c>
      <c r="Q2" s="481" t="s">
        <v>543</v>
      </c>
      <c r="R2" s="481" t="s">
        <v>542</v>
      </c>
      <c r="S2" s="481" t="s">
        <v>541</v>
      </c>
      <c r="T2" s="481" t="s">
        <v>540</v>
      </c>
      <c r="U2" s="481" t="s">
        <v>539</v>
      </c>
      <c r="V2" s="481" t="s">
        <v>538</v>
      </c>
      <c r="W2" s="481" t="s">
        <v>537</v>
      </c>
      <c r="X2" s="471" t="s">
        <v>528</v>
      </c>
    </row>
    <row r="3" spans="2:24" ht="16" hidden="1" x14ac:dyDescent="0.2">
      <c r="B3" s="476" t="s">
        <v>535</v>
      </c>
      <c r="C3" s="472">
        <v>32509</v>
      </c>
      <c r="D3" s="430">
        <v>32509</v>
      </c>
      <c r="E3" s="430">
        <v>32509</v>
      </c>
      <c r="F3" s="430">
        <v>32509</v>
      </c>
      <c r="G3" s="430">
        <v>32509</v>
      </c>
      <c r="H3" s="430">
        <v>32509</v>
      </c>
      <c r="I3" s="430">
        <v>32509</v>
      </c>
      <c r="J3" s="430">
        <v>32509</v>
      </c>
      <c r="K3" s="430">
        <v>32509</v>
      </c>
      <c r="L3" s="430">
        <v>32509</v>
      </c>
      <c r="M3" s="430">
        <v>32509</v>
      </c>
      <c r="N3" s="430">
        <v>32509</v>
      </c>
      <c r="O3" s="430">
        <v>32509</v>
      </c>
      <c r="P3" s="430">
        <v>32509</v>
      </c>
      <c r="Q3" s="430">
        <v>32509</v>
      </c>
      <c r="R3" s="430">
        <v>32509</v>
      </c>
      <c r="S3" s="430">
        <v>32509</v>
      </c>
      <c r="T3" s="430">
        <v>32509</v>
      </c>
      <c r="U3" s="430">
        <v>32509</v>
      </c>
      <c r="V3" s="430">
        <v>32509</v>
      </c>
      <c r="W3" s="430">
        <v>32509</v>
      </c>
      <c r="X3" s="438">
        <v>32521</v>
      </c>
    </row>
    <row r="4" spans="2:24" ht="16" hidden="1" x14ac:dyDescent="0.2">
      <c r="B4" s="483" t="s">
        <v>536</v>
      </c>
      <c r="C4" s="473"/>
      <c r="D4" s="431">
        <v>32509</v>
      </c>
      <c r="E4" s="431">
        <v>32509</v>
      </c>
      <c r="F4" s="431">
        <v>32509</v>
      </c>
      <c r="G4" s="431">
        <v>32509</v>
      </c>
      <c r="H4" s="431">
        <v>32509</v>
      </c>
      <c r="I4" s="431">
        <v>32509</v>
      </c>
      <c r="J4" s="431">
        <v>32509</v>
      </c>
      <c r="K4" s="431">
        <v>32509</v>
      </c>
      <c r="L4" s="431">
        <v>32509</v>
      </c>
      <c r="M4" s="431">
        <v>32509</v>
      </c>
      <c r="N4" s="431">
        <v>32509</v>
      </c>
      <c r="O4" s="431">
        <v>32509</v>
      </c>
      <c r="P4" s="431">
        <v>32509</v>
      </c>
      <c r="Q4" s="431">
        <v>32509</v>
      </c>
      <c r="R4" s="431">
        <v>32509</v>
      </c>
      <c r="S4" s="431">
        <v>32509</v>
      </c>
      <c r="T4" s="431">
        <v>32509</v>
      </c>
      <c r="U4" s="431">
        <v>32509</v>
      </c>
      <c r="V4" s="431">
        <v>32509</v>
      </c>
      <c r="W4" s="431">
        <v>32509</v>
      </c>
      <c r="X4" s="439"/>
    </row>
    <row r="5" spans="2:24" ht="16" x14ac:dyDescent="0.2">
      <c r="B5" s="476" t="s">
        <v>535</v>
      </c>
      <c r="C5" s="474"/>
      <c r="D5" s="482">
        <v>43108</v>
      </c>
      <c r="E5" s="482">
        <v>43108</v>
      </c>
      <c r="F5" s="482">
        <v>43129</v>
      </c>
      <c r="G5" s="482">
        <v>43136</v>
      </c>
      <c r="H5" s="482">
        <v>43129</v>
      </c>
      <c r="I5" s="482">
        <v>43143</v>
      </c>
      <c r="J5" s="482">
        <v>47484</v>
      </c>
      <c r="K5" s="482">
        <v>47484</v>
      </c>
      <c r="L5" s="482">
        <v>47484</v>
      </c>
      <c r="M5" s="482">
        <v>47484</v>
      </c>
      <c r="N5" s="482">
        <v>47484</v>
      </c>
      <c r="O5" s="482">
        <v>47484</v>
      </c>
      <c r="P5" s="482">
        <v>47484</v>
      </c>
      <c r="Q5" s="482">
        <v>47484</v>
      </c>
      <c r="R5" s="482">
        <v>47484</v>
      </c>
      <c r="S5" s="482">
        <v>47484</v>
      </c>
      <c r="T5" s="482">
        <v>47484</v>
      </c>
      <c r="U5" s="482">
        <v>47484</v>
      </c>
      <c r="V5" s="482">
        <v>47484</v>
      </c>
      <c r="W5" s="482">
        <v>47484</v>
      </c>
      <c r="X5" s="440"/>
    </row>
    <row r="6" spans="2:24" ht="16" x14ac:dyDescent="0.2">
      <c r="B6" s="476" t="s">
        <v>536</v>
      </c>
      <c r="C6" s="474"/>
      <c r="D6" s="482">
        <v>43127</v>
      </c>
      <c r="E6" s="482">
        <v>43115</v>
      </c>
      <c r="F6" s="482">
        <v>43141</v>
      </c>
      <c r="G6" s="482">
        <v>43148</v>
      </c>
      <c r="H6" s="482">
        <v>43148</v>
      </c>
      <c r="I6" s="482">
        <v>43148</v>
      </c>
      <c r="J6" s="482">
        <v>47484</v>
      </c>
      <c r="K6" s="482">
        <v>47484</v>
      </c>
      <c r="L6" s="482">
        <v>47484</v>
      </c>
      <c r="M6" s="482">
        <v>47484</v>
      </c>
      <c r="N6" s="482">
        <v>47484</v>
      </c>
      <c r="O6" s="482">
        <v>47484</v>
      </c>
      <c r="P6" s="482">
        <v>47484</v>
      </c>
      <c r="Q6" s="482">
        <v>47484</v>
      </c>
      <c r="R6" s="482">
        <v>47484</v>
      </c>
      <c r="S6" s="482">
        <v>47484</v>
      </c>
      <c r="T6" s="482">
        <v>47484</v>
      </c>
      <c r="U6" s="482">
        <v>47484</v>
      </c>
      <c r="V6" s="482">
        <v>47484</v>
      </c>
      <c r="W6" s="482">
        <v>47484</v>
      </c>
      <c r="X6" s="440"/>
    </row>
    <row r="7" spans="2:24" ht="16" x14ac:dyDescent="0.2">
      <c r="B7" s="476" t="s">
        <v>535</v>
      </c>
      <c r="C7" s="474"/>
      <c r="D7" s="482">
        <v>47484</v>
      </c>
      <c r="E7" s="482">
        <v>47484</v>
      </c>
      <c r="F7" s="482">
        <v>47484</v>
      </c>
      <c r="G7" s="482">
        <v>47484</v>
      </c>
      <c r="H7" s="482">
        <v>47484</v>
      </c>
      <c r="I7" s="482">
        <v>47484</v>
      </c>
      <c r="J7" s="482">
        <v>47484</v>
      </c>
      <c r="K7" s="482">
        <v>47484</v>
      </c>
      <c r="L7" s="482">
        <v>47484</v>
      </c>
      <c r="M7" s="482">
        <v>47484</v>
      </c>
      <c r="N7" s="482">
        <v>47484</v>
      </c>
      <c r="O7" s="482">
        <v>47484</v>
      </c>
      <c r="P7" s="482">
        <v>47484</v>
      </c>
      <c r="Q7" s="482">
        <v>47484</v>
      </c>
      <c r="R7" s="482">
        <v>47484</v>
      </c>
      <c r="S7" s="482">
        <v>47484</v>
      </c>
      <c r="T7" s="482">
        <v>47484</v>
      </c>
      <c r="U7" s="482">
        <v>47484</v>
      </c>
      <c r="V7" s="482">
        <v>47484</v>
      </c>
      <c r="W7" s="482">
        <v>47484</v>
      </c>
      <c r="X7" s="440"/>
    </row>
    <row r="8" spans="2:24" ht="16" x14ac:dyDescent="0.2">
      <c r="B8" s="476" t="s">
        <v>536</v>
      </c>
      <c r="C8" s="474"/>
      <c r="D8" s="482">
        <v>47484</v>
      </c>
      <c r="E8" s="482">
        <v>47484</v>
      </c>
      <c r="F8" s="482">
        <v>47484</v>
      </c>
      <c r="G8" s="482">
        <v>47484</v>
      </c>
      <c r="H8" s="482">
        <v>47484</v>
      </c>
      <c r="I8" s="482">
        <v>47484</v>
      </c>
      <c r="J8" s="482">
        <v>47484</v>
      </c>
      <c r="K8" s="482">
        <v>47484</v>
      </c>
      <c r="L8" s="482">
        <v>47484</v>
      </c>
      <c r="M8" s="482">
        <v>47484</v>
      </c>
      <c r="N8" s="482">
        <v>47484</v>
      </c>
      <c r="O8" s="482">
        <v>47484</v>
      </c>
      <c r="P8" s="482">
        <v>47484</v>
      </c>
      <c r="Q8" s="482">
        <v>47484</v>
      </c>
      <c r="R8" s="482">
        <v>47484</v>
      </c>
      <c r="S8" s="482">
        <v>47484</v>
      </c>
      <c r="T8" s="482">
        <v>47484</v>
      </c>
      <c r="U8" s="482">
        <v>47484</v>
      </c>
      <c r="V8" s="482">
        <v>47484</v>
      </c>
      <c r="W8" s="482">
        <v>47484</v>
      </c>
      <c r="X8" s="440"/>
    </row>
    <row r="9" spans="2:24" ht="16" x14ac:dyDescent="0.2">
      <c r="B9" s="476" t="s">
        <v>535</v>
      </c>
      <c r="C9" s="474"/>
      <c r="D9" s="482">
        <v>47484</v>
      </c>
      <c r="E9" s="482">
        <v>47484</v>
      </c>
      <c r="F9" s="482">
        <v>47484</v>
      </c>
      <c r="G9" s="482">
        <v>47484</v>
      </c>
      <c r="H9" s="482">
        <v>47484</v>
      </c>
      <c r="I9" s="482">
        <v>47484</v>
      </c>
      <c r="J9" s="482">
        <v>47484</v>
      </c>
      <c r="K9" s="482">
        <v>47484</v>
      </c>
      <c r="L9" s="482">
        <v>47484</v>
      </c>
      <c r="M9" s="482">
        <v>47484</v>
      </c>
      <c r="N9" s="482">
        <v>47484</v>
      </c>
      <c r="O9" s="482">
        <v>47484</v>
      </c>
      <c r="P9" s="482">
        <v>47484</v>
      </c>
      <c r="Q9" s="482">
        <v>47484</v>
      </c>
      <c r="R9" s="482">
        <v>47484</v>
      </c>
      <c r="S9" s="482">
        <v>47484</v>
      </c>
      <c r="T9" s="482">
        <v>47484</v>
      </c>
      <c r="U9" s="482">
        <v>47484</v>
      </c>
      <c r="V9" s="482">
        <v>47484</v>
      </c>
      <c r="W9" s="482">
        <v>47484</v>
      </c>
      <c r="X9" s="440"/>
    </row>
    <row r="10" spans="2:24" ht="16" x14ac:dyDescent="0.2">
      <c r="B10" s="476" t="s">
        <v>536</v>
      </c>
      <c r="C10" s="474"/>
      <c r="D10" s="482">
        <v>47484</v>
      </c>
      <c r="E10" s="482">
        <v>47484</v>
      </c>
      <c r="F10" s="482">
        <v>47484</v>
      </c>
      <c r="G10" s="482">
        <v>47484</v>
      </c>
      <c r="H10" s="482">
        <v>47484</v>
      </c>
      <c r="I10" s="482">
        <v>47484</v>
      </c>
      <c r="J10" s="482">
        <v>47484</v>
      </c>
      <c r="K10" s="482">
        <v>47484</v>
      </c>
      <c r="L10" s="482">
        <v>47484</v>
      </c>
      <c r="M10" s="482">
        <v>47484</v>
      </c>
      <c r="N10" s="482">
        <v>47484</v>
      </c>
      <c r="O10" s="482">
        <v>47484</v>
      </c>
      <c r="P10" s="482">
        <v>47484</v>
      </c>
      <c r="Q10" s="482">
        <v>47484</v>
      </c>
      <c r="R10" s="482">
        <v>47484</v>
      </c>
      <c r="S10" s="482">
        <v>47484</v>
      </c>
      <c r="T10" s="482">
        <v>47484</v>
      </c>
      <c r="U10" s="482">
        <v>47484</v>
      </c>
      <c r="V10" s="482">
        <v>47484</v>
      </c>
      <c r="W10" s="482">
        <v>47484</v>
      </c>
      <c r="X10" s="440"/>
    </row>
    <row r="11" spans="2:24" ht="16" x14ac:dyDescent="0.2">
      <c r="B11" s="476" t="s">
        <v>535</v>
      </c>
      <c r="C11" s="474"/>
      <c r="D11" s="482">
        <v>47484</v>
      </c>
      <c r="E11" s="482">
        <v>47484</v>
      </c>
      <c r="F11" s="482">
        <v>47484</v>
      </c>
      <c r="G11" s="482">
        <v>47484</v>
      </c>
      <c r="H11" s="482">
        <v>47484</v>
      </c>
      <c r="I11" s="482">
        <v>47484</v>
      </c>
      <c r="J11" s="482">
        <v>47484</v>
      </c>
      <c r="K11" s="482">
        <v>47484</v>
      </c>
      <c r="L11" s="482">
        <v>47484</v>
      </c>
      <c r="M11" s="482">
        <v>47484</v>
      </c>
      <c r="N11" s="482">
        <v>47484</v>
      </c>
      <c r="O11" s="482">
        <v>47484</v>
      </c>
      <c r="P11" s="482">
        <v>47484</v>
      </c>
      <c r="Q11" s="482">
        <v>47484</v>
      </c>
      <c r="R11" s="482">
        <v>47484</v>
      </c>
      <c r="S11" s="482">
        <v>47484</v>
      </c>
      <c r="T11" s="482">
        <v>47484</v>
      </c>
      <c r="U11" s="482">
        <v>47484</v>
      </c>
      <c r="V11" s="482">
        <v>47484</v>
      </c>
      <c r="W11" s="482">
        <v>47484</v>
      </c>
      <c r="X11" s="440"/>
    </row>
    <row r="12" spans="2:24" ht="16" x14ac:dyDescent="0.2">
      <c r="B12" s="476" t="s">
        <v>536</v>
      </c>
      <c r="C12" s="474"/>
      <c r="D12" s="482">
        <v>47484</v>
      </c>
      <c r="E12" s="482">
        <v>47484</v>
      </c>
      <c r="F12" s="482">
        <v>47484</v>
      </c>
      <c r="G12" s="482">
        <v>47484</v>
      </c>
      <c r="H12" s="482">
        <v>47484</v>
      </c>
      <c r="I12" s="482">
        <v>47484</v>
      </c>
      <c r="J12" s="482">
        <v>47484</v>
      </c>
      <c r="K12" s="482">
        <v>47484</v>
      </c>
      <c r="L12" s="482">
        <v>47484</v>
      </c>
      <c r="M12" s="482">
        <v>47484</v>
      </c>
      <c r="N12" s="482">
        <v>47484</v>
      </c>
      <c r="O12" s="482">
        <v>47484</v>
      </c>
      <c r="P12" s="482">
        <v>47484</v>
      </c>
      <c r="Q12" s="482">
        <v>47484</v>
      </c>
      <c r="R12" s="482">
        <v>47484</v>
      </c>
      <c r="S12" s="482">
        <v>47484</v>
      </c>
      <c r="T12" s="482">
        <v>47484</v>
      </c>
      <c r="U12" s="482">
        <v>47484</v>
      </c>
      <c r="V12" s="482">
        <v>47484</v>
      </c>
      <c r="W12" s="482">
        <v>47484</v>
      </c>
      <c r="X12" s="440"/>
    </row>
    <row r="13" spans="2:24" ht="16" x14ac:dyDescent="0.2">
      <c r="B13" s="476" t="s">
        <v>535</v>
      </c>
      <c r="C13" s="474"/>
      <c r="D13" s="482">
        <v>47484</v>
      </c>
      <c r="E13" s="482">
        <v>47484</v>
      </c>
      <c r="F13" s="482">
        <v>47484</v>
      </c>
      <c r="G13" s="482">
        <v>47484</v>
      </c>
      <c r="H13" s="482">
        <v>47484</v>
      </c>
      <c r="I13" s="482">
        <v>47484</v>
      </c>
      <c r="J13" s="482">
        <v>47484</v>
      </c>
      <c r="K13" s="482">
        <v>47484</v>
      </c>
      <c r="L13" s="482">
        <v>47484</v>
      </c>
      <c r="M13" s="482">
        <v>47484</v>
      </c>
      <c r="N13" s="482">
        <v>47484</v>
      </c>
      <c r="O13" s="482">
        <v>47484</v>
      </c>
      <c r="P13" s="482">
        <v>47484</v>
      </c>
      <c r="Q13" s="482">
        <v>47484</v>
      </c>
      <c r="R13" s="482">
        <v>47484</v>
      </c>
      <c r="S13" s="482">
        <v>47484</v>
      </c>
      <c r="T13" s="482">
        <v>47484</v>
      </c>
      <c r="U13" s="482">
        <v>47484</v>
      </c>
      <c r="V13" s="482">
        <v>47484</v>
      </c>
      <c r="W13" s="482">
        <v>47484</v>
      </c>
      <c r="X13" s="440"/>
    </row>
    <row r="14" spans="2:24" ht="16" x14ac:dyDescent="0.2">
      <c r="B14" s="476" t="s">
        <v>536</v>
      </c>
      <c r="C14" s="474"/>
      <c r="D14" s="482">
        <v>47484</v>
      </c>
      <c r="E14" s="482">
        <v>47484</v>
      </c>
      <c r="F14" s="482">
        <v>47484</v>
      </c>
      <c r="G14" s="482">
        <v>47484</v>
      </c>
      <c r="H14" s="482">
        <v>47484</v>
      </c>
      <c r="I14" s="482">
        <v>47484</v>
      </c>
      <c r="J14" s="482">
        <v>47484</v>
      </c>
      <c r="K14" s="482">
        <v>47484</v>
      </c>
      <c r="L14" s="482">
        <v>47484</v>
      </c>
      <c r="M14" s="482">
        <v>47484</v>
      </c>
      <c r="N14" s="482">
        <v>47484</v>
      </c>
      <c r="O14" s="482">
        <v>47484</v>
      </c>
      <c r="P14" s="482">
        <v>47484</v>
      </c>
      <c r="Q14" s="482">
        <v>47484</v>
      </c>
      <c r="R14" s="482">
        <v>47484</v>
      </c>
      <c r="S14" s="482">
        <v>47484</v>
      </c>
      <c r="T14" s="482">
        <v>47484</v>
      </c>
      <c r="U14" s="482">
        <v>47484</v>
      </c>
      <c r="V14" s="482">
        <v>47484</v>
      </c>
      <c r="W14" s="482">
        <v>47484</v>
      </c>
      <c r="X14" s="440"/>
    </row>
    <row r="15" spans="2:24" ht="16" x14ac:dyDescent="0.2">
      <c r="B15" s="476" t="s">
        <v>535</v>
      </c>
      <c r="C15" s="474"/>
      <c r="D15" s="482">
        <v>47484</v>
      </c>
      <c r="E15" s="482">
        <v>47484</v>
      </c>
      <c r="F15" s="482">
        <v>47484</v>
      </c>
      <c r="G15" s="482">
        <v>47484</v>
      </c>
      <c r="H15" s="482">
        <v>47484</v>
      </c>
      <c r="I15" s="482">
        <v>47484</v>
      </c>
      <c r="J15" s="482">
        <v>47484</v>
      </c>
      <c r="K15" s="482">
        <v>47484</v>
      </c>
      <c r="L15" s="482">
        <v>47484</v>
      </c>
      <c r="M15" s="482">
        <v>47484</v>
      </c>
      <c r="N15" s="482">
        <v>47484</v>
      </c>
      <c r="O15" s="482">
        <v>47484</v>
      </c>
      <c r="P15" s="482">
        <v>47484</v>
      </c>
      <c r="Q15" s="482">
        <v>47484</v>
      </c>
      <c r="R15" s="482">
        <v>47484</v>
      </c>
      <c r="S15" s="482">
        <v>47484</v>
      </c>
      <c r="T15" s="482">
        <v>47484</v>
      </c>
      <c r="U15" s="482">
        <v>47484</v>
      </c>
      <c r="V15" s="482">
        <v>47484</v>
      </c>
      <c r="W15" s="482">
        <v>47484</v>
      </c>
      <c r="X15" s="440"/>
    </row>
    <row r="16" spans="2:24" ht="16" x14ac:dyDescent="0.2">
      <c r="B16" s="476" t="s">
        <v>536</v>
      </c>
      <c r="C16" s="474"/>
      <c r="D16" s="482">
        <v>47484</v>
      </c>
      <c r="E16" s="482">
        <v>47484</v>
      </c>
      <c r="F16" s="482">
        <v>47484</v>
      </c>
      <c r="G16" s="482">
        <v>47484</v>
      </c>
      <c r="H16" s="482">
        <v>47484</v>
      </c>
      <c r="I16" s="482">
        <v>47484</v>
      </c>
      <c r="J16" s="482">
        <v>47484</v>
      </c>
      <c r="K16" s="482">
        <v>47484</v>
      </c>
      <c r="L16" s="482">
        <v>47484</v>
      </c>
      <c r="M16" s="482">
        <v>47484</v>
      </c>
      <c r="N16" s="482">
        <v>47484</v>
      </c>
      <c r="O16" s="482">
        <v>47484</v>
      </c>
      <c r="P16" s="482">
        <v>47484</v>
      </c>
      <c r="Q16" s="482">
        <v>47484</v>
      </c>
      <c r="R16" s="482">
        <v>47484</v>
      </c>
      <c r="S16" s="482">
        <v>47484</v>
      </c>
      <c r="T16" s="482">
        <v>47484</v>
      </c>
      <c r="U16" s="482">
        <v>47484</v>
      </c>
      <c r="V16" s="482">
        <v>47484</v>
      </c>
      <c r="W16" s="482">
        <v>47484</v>
      </c>
      <c r="X16" s="440"/>
    </row>
    <row r="17" spans="2:24" ht="16" x14ac:dyDescent="0.2">
      <c r="B17" s="476" t="s">
        <v>535</v>
      </c>
      <c r="C17" s="474"/>
      <c r="D17" s="482">
        <v>47484</v>
      </c>
      <c r="E17" s="482">
        <v>47484</v>
      </c>
      <c r="F17" s="482">
        <v>47484</v>
      </c>
      <c r="G17" s="482">
        <v>47484</v>
      </c>
      <c r="H17" s="482">
        <v>47484</v>
      </c>
      <c r="I17" s="482">
        <v>47484</v>
      </c>
      <c r="J17" s="482">
        <v>47484</v>
      </c>
      <c r="K17" s="482">
        <v>47484</v>
      </c>
      <c r="L17" s="482">
        <v>47484</v>
      </c>
      <c r="M17" s="482">
        <v>47484</v>
      </c>
      <c r="N17" s="482">
        <v>47484</v>
      </c>
      <c r="O17" s="482">
        <v>47484</v>
      </c>
      <c r="P17" s="482">
        <v>47484</v>
      </c>
      <c r="Q17" s="482">
        <v>47484</v>
      </c>
      <c r="R17" s="482">
        <v>47484</v>
      </c>
      <c r="S17" s="482">
        <v>47484</v>
      </c>
      <c r="T17" s="482">
        <v>47484</v>
      </c>
      <c r="U17" s="482">
        <v>47484</v>
      </c>
      <c r="V17" s="482">
        <v>47484</v>
      </c>
      <c r="W17" s="482">
        <v>47484</v>
      </c>
      <c r="X17" s="440"/>
    </row>
    <row r="18" spans="2:24" ht="16" x14ac:dyDescent="0.2">
      <c r="B18" s="476" t="s">
        <v>536</v>
      </c>
      <c r="C18" s="474"/>
      <c r="D18" s="482">
        <v>47484</v>
      </c>
      <c r="E18" s="482">
        <v>47484</v>
      </c>
      <c r="F18" s="482">
        <v>47484</v>
      </c>
      <c r="G18" s="482">
        <v>47484</v>
      </c>
      <c r="H18" s="482">
        <v>47484</v>
      </c>
      <c r="I18" s="482">
        <v>47484</v>
      </c>
      <c r="J18" s="482">
        <v>47484</v>
      </c>
      <c r="K18" s="482">
        <v>47484</v>
      </c>
      <c r="L18" s="482">
        <v>47484</v>
      </c>
      <c r="M18" s="482">
        <v>47484</v>
      </c>
      <c r="N18" s="482">
        <v>47484</v>
      </c>
      <c r="O18" s="482">
        <v>47484</v>
      </c>
      <c r="P18" s="482">
        <v>47484</v>
      </c>
      <c r="Q18" s="482">
        <v>47484</v>
      </c>
      <c r="R18" s="482">
        <v>47484</v>
      </c>
      <c r="S18" s="482">
        <v>47484</v>
      </c>
      <c r="T18" s="482">
        <v>47484</v>
      </c>
      <c r="U18" s="482">
        <v>47484</v>
      </c>
      <c r="V18" s="482">
        <v>47484</v>
      </c>
      <c r="W18" s="482">
        <v>47484</v>
      </c>
      <c r="X18" s="440"/>
    </row>
    <row r="19" spans="2:24" ht="16" x14ac:dyDescent="0.2">
      <c r="B19" s="476" t="s">
        <v>535</v>
      </c>
      <c r="C19" s="474"/>
      <c r="D19" s="482">
        <v>47484</v>
      </c>
      <c r="E19" s="482">
        <v>47484</v>
      </c>
      <c r="F19" s="482">
        <v>47484</v>
      </c>
      <c r="G19" s="482">
        <v>47484</v>
      </c>
      <c r="H19" s="482">
        <v>47484</v>
      </c>
      <c r="I19" s="482">
        <v>47484</v>
      </c>
      <c r="J19" s="482">
        <v>47484</v>
      </c>
      <c r="K19" s="482">
        <v>47484</v>
      </c>
      <c r="L19" s="482">
        <v>47484</v>
      </c>
      <c r="M19" s="482">
        <v>47484</v>
      </c>
      <c r="N19" s="482">
        <v>47484</v>
      </c>
      <c r="O19" s="482">
        <v>47484</v>
      </c>
      <c r="P19" s="482">
        <v>47484</v>
      </c>
      <c r="Q19" s="482">
        <v>47484</v>
      </c>
      <c r="R19" s="482">
        <v>47484</v>
      </c>
      <c r="S19" s="482">
        <v>47484</v>
      </c>
      <c r="T19" s="482">
        <v>47484</v>
      </c>
      <c r="U19" s="482">
        <v>47484</v>
      </c>
      <c r="V19" s="482">
        <v>47484</v>
      </c>
      <c r="W19" s="482">
        <v>47484</v>
      </c>
      <c r="X19" s="440"/>
    </row>
    <row r="20" spans="2:24" ht="16" x14ac:dyDescent="0.2">
      <c r="B20" s="476" t="s">
        <v>536</v>
      </c>
      <c r="C20" s="474"/>
      <c r="D20" s="482">
        <v>47484</v>
      </c>
      <c r="E20" s="482">
        <v>47484</v>
      </c>
      <c r="F20" s="482">
        <v>47484</v>
      </c>
      <c r="G20" s="482">
        <v>47484</v>
      </c>
      <c r="H20" s="482">
        <v>47484</v>
      </c>
      <c r="I20" s="482">
        <v>47484</v>
      </c>
      <c r="J20" s="482">
        <v>47484</v>
      </c>
      <c r="K20" s="482">
        <v>47484</v>
      </c>
      <c r="L20" s="482">
        <v>47484</v>
      </c>
      <c r="M20" s="482">
        <v>47484</v>
      </c>
      <c r="N20" s="482">
        <v>47484</v>
      </c>
      <c r="O20" s="482">
        <v>47484</v>
      </c>
      <c r="P20" s="482">
        <v>47484</v>
      </c>
      <c r="Q20" s="482">
        <v>47484</v>
      </c>
      <c r="R20" s="482">
        <v>47484</v>
      </c>
      <c r="S20" s="482">
        <v>47484</v>
      </c>
      <c r="T20" s="482">
        <v>47484</v>
      </c>
      <c r="U20" s="482">
        <v>47484</v>
      </c>
      <c r="V20" s="482">
        <v>47484</v>
      </c>
      <c r="W20" s="482">
        <v>47484</v>
      </c>
      <c r="X20" s="440"/>
    </row>
    <row r="21" spans="2:24" ht="16" x14ac:dyDescent="0.2">
      <c r="B21" s="476" t="s">
        <v>535</v>
      </c>
      <c r="C21" s="474"/>
      <c r="D21" s="482">
        <v>47484</v>
      </c>
      <c r="E21" s="482">
        <v>47484</v>
      </c>
      <c r="F21" s="482">
        <v>47484</v>
      </c>
      <c r="G21" s="482">
        <v>47484</v>
      </c>
      <c r="H21" s="482">
        <v>47484</v>
      </c>
      <c r="I21" s="482">
        <v>47484</v>
      </c>
      <c r="J21" s="482">
        <v>47484</v>
      </c>
      <c r="K21" s="482">
        <v>47484</v>
      </c>
      <c r="L21" s="482">
        <v>47484</v>
      </c>
      <c r="M21" s="482">
        <v>47484</v>
      </c>
      <c r="N21" s="482">
        <v>47484</v>
      </c>
      <c r="O21" s="482">
        <v>47484</v>
      </c>
      <c r="P21" s="482">
        <v>47484</v>
      </c>
      <c r="Q21" s="482">
        <v>47484</v>
      </c>
      <c r="R21" s="482">
        <v>47484</v>
      </c>
      <c r="S21" s="482">
        <v>47484</v>
      </c>
      <c r="T21" s="482">
        <v>47484</v>
      </c>
      <c r="U21" s="482">
        <v>47484</v>
      </c>
      <c r="V21" s="482">
        <v>47484</v>
      </c>
      <c r="W21" s="482">
        <v>47484</v>
      </c>
      <c r="X21" s="440"/>
    </row>
    <row r="22" spans="2:24" ht="16" x14ac:dyDescent="0.2">
      <c r="B22" s="476" t="s">
        <v>536</v>
      </c>
      <c r="C22" s="474"/>
      <c r="D22" s="482">
        <v>47484</v>
      </c>
      <c r="E22" s="482">
        <v>47484</v>
      </c>
      <c r="F22" s="482">
        <v>47484</v>
      </c>
      <c r="G22" s="482">
        <v>47484</v>
      </c>
      <c r="H22" s="482">
        <v>47484</v>
      </c>
      <c r="I22" s="482">
        <v>47484</v>
      </c>
      <c r="J22" s="482">
        <v>47484</v>
      </c>
      <c r="K22" s="482">
        <v>47484</v>
      </c>
      <c r="L22" s="482">
        <v>47484</v>
      </c>
      <c r="M22" s="482">
        <v>47484</v>
      </c>
      <c r="N22" s="482">
        <v>47484</v>
      </c>
      <c r="O22" s="482">
        <v>47484</v>
      </c>
      <c r="P22" s="482">
        <v>47484</v>
      </c>
      <c r="Q22" s="482">
        <v>47484</v>
      </c>
      <c r="R22" s="482">
        <v>47484</v>
      </c>
      <c r="S22" s="482">
        <v>47484</v>
      </c>
      <c r="T22" s="482">
        <v>47484</v>
      </c>
      <c r="U22" s="482">
        <v>47484</v>
      </c>
      <c r="V22" s="482">
        <v>47484</v>
      </c>
      <c r="W22" s="482">
        <v>47484</v>
      </c>
      <c r="X22" s="440"/>
    </row>
    <row r="23" spans="2:24" ht="16" x14ac:dyDescent="0.2">
      <c r="B23" s="476" t="s">
        <v>535</v>
      </c>
      <c r="C23" s="474"/>
      <c r="D23" s="482">
        <v>47484</v>
      </c>
      <c r="E23" s="482">
        <v>47484</v>
      </c>
      <c r="F23" s="482">
        <v>47484</v>
      </c>
      <c r="G23" s="482">
        <v>47484</v>
      </c>
      <c r="H23" s="482">
        <v>47484</v>
      </c>
      <c r="I23" s="482">
        <v>47484</v>
      </c>
      <c r="J23" s="482">
        <v>47484</v>
      </c>
      <c r="K23" s="482">
        <v>47484</v>
      </c>
      <c r="L23" s="482">
        <v>47484</v>
      </c>
      <c r="M23" s="482">
        <v>47484</v>
      </c>
      <c r="N23" s="482">
        <v>47484</v>
      </c>
      <c r="O23" s="482">
        <v>47484</v>
      </c>
      <c r="P23" s="482">
        <v>47484</v>
      </c>
      <c r="Q23" s="482">
        <v>47484</v>
      </c>
      <c r="R23" s="482">
        <v>47484</v>
      </c>
      <c r="S23" s="482">
        <v>47484</v>
      </c>
      <c r="T23" s="482">
        <v>47484</v>
      </c>
      <c r="U23" s="482">
        <v>47484</v>
      </c>
      <c r="V23" s="482">
        <v>47484</v>
      </c>
      <c r="W23" s="482">
        <v>47484</v>
      </c>
      <c r="X23" s="440"/>
    </row>
    <row r="24" spans="2:24" ht="16" x14ac:dyDescent="0.2">
      <c r="B24" s="476" t="s">
        <v>535</v>
      </c>
      <c r="C24" s="474"/>
      <c r="D24" s="482">
        <v>47484</v>
      </c>
      <c r="E24" s="482">
        <v>47484</v>
      </c>
      <c r="F24" s="482">
        <v>47484</v>
      </c>
      <c r="G24" s="482">
        <v>47484</v>
      </c>
      <c r="H24" s="482">
        <v>47484</v>
      </c>
      <c r="I24" s="482">
        <v>47484</v>
      </c>
      <c r="J24" s="482">
        <v>47484</v>
      </c>
      <c r="K24" s="482">
        <v>47484</v>
      </c>
      <c r="L24" s="482">
        <v>47484</v>
      </c>
      <c r="M24" s="482">
        <v>47484</v>
      </c>
      <c r="N24" s="482">
        <v>47484</v>
      </c>
      <c r="O24" s="482">
        <v>47484</v>
      </c>
      <c r="P24" s="482">
        <v>47484</v>
      </c>
      <c r="Q24" s="482">
        <v>47484</v>
      </c>
      <c r="R24" s="482">
        <v>47484</v>
      </c>
      <c r="S24" s="482">
        <v>47484</v>
      </c>
      <c r="T24" s="482">
        <v>47484</v>
      </c>
      <c r="U24" s="482">
        <v>47484</v>
      </c>
      <c r="V24" s="482">
        <v>47484</v>
      </c>
      <c r="W24" s="482">
        <v>47484</v>
      </c>
      <c r="X24" s="440"/>
    </row>
    <row r="25" spans="2:24" ht="16" x14ac:dyDescent="0.2">
      <c r="B25" s="476" t="s">
        <v>536</v>
      </c>
      <c r="C25" s="474"/>
      <c r="D25" s="482">
        <v>47484</v>
      </c>
      <c r="E25" s="482">
        <v>47484</v>
      </c>
      <c r="F25" s="482">
        <v>47484</v>
      </c>
      <c r="G25" s="482">
        <v>47484</v>
      </c>
      <c r="H25" s="482">
        <v>47484</v>
      </c>
      <c r="I25" s="482">
        <v>47484</v>
      </c>
      <c r="J25" s="482">
        <v>47484</v>
      </c>
      <c r="K25" s="482">
        <v>47484</v>
      </c>
      <c r="L25" s="482">
        <v>47484</v>
      </c>
      <c r="M25" s="482">
        <v>47484</v>
      </c>
      <c r="N25" s="482">
        <v>47484</v>
      </c>
      <c r="O25" s="482">
        <v>47484</v>
      </c>
      <c r="P25" s="482">
        <v>47484</v>
      </c>
      <c r="Q25" s="482">
        <v>47484</v>
      </c>
      <c r="R25" s="482">
        <v>47484</v>
      </c>
      <c r="S25" s="482">
        <v>47484</v>
      </c>
      <c r="T25" s="482">
        <v>47484</v>
      </c>
      <c r="U25" s="482">
        <v>47484</v>
      </c>
      <c r="V25" s="482">
        <v>47484</v>
      </c>
      <c r="W25" s="482">
        <v>47484</v>
      </c>
      <c r="X25" s="440"/>
    </row>
    <row r="26" spans="2:24" ht="16" x14ac:dyDescent="0.2">
      <c r="B26" s="489" t="s">
        <v>535</v>
      </c>
      <c r="C26" s="474"/>
      <c r="D26" s="482">
        <v>47484</v>
      </c>
      <c r="E26" s="482">
        <v>47484</v>
      </c>
      <c r="F26" s="482">
        <v>47484</v>
      </c>
      <c r="G26" s="482">
        <v>47484</v>
      </c>
      <c r="H26" s="482">
        <v>47484</v>
      </c>
      <c r="I26" s="482">
        <v>47484</v>
      </c>
      <c r="J26" s="482">
        <v>47484</v>
      </c>
      <c r="K26" s="482">
        <v>47484</v>
      </c>
      <c r="L26" s="482">
        <v>47484</v>
      </c>
      <c r="M26" s="482">
        <v>47484</v>
      </c>
      <c r="N26" s="482">
        <v>47484</v>
      </c>
      <c r="O26" s="482">
        <v>47484</v>
      </c>
      <c r="P26" s="482">
        <v>47484</v>
      </c>
      <c r="Q26" s="482">
        <v>47484</v>
      </c>
      <c r="R26" s="482">
        <v>47484</v>
      </c>
      <c r="S26" s="482">
        <v>47484</v>
      </c>
      <c r="T26" s="482">
        <v>47484</v>
      </c>
      <c r="U26" s="482">
        <v>47484</v>
      </c>
      <c r="V26" s="482">
        <v>47484</v>
      </c>
      <c r="W26" s="482">
        <v>47484</v>
      </c>
      <c r="X26" s="440"/>
    </row>
    <row r="27" spans="2:24" ht="16" x14ac:dyDescent="0.2">
      <c r="B27" s="489" t="s">
        <v>536</v>
      </c>
      <c r="C27" s="474"/>
      <c r="D27" s="482">
        <v>47484</v>
      </c>
      <c r="E27" s="482">
        <v>47484</v>
      </c>
      <c r="F27" s="482">
        <v>47484</v>
      </c>
      <c r="G27" s="482">
        <v>47484</v>
      </c>
      <c r="H27" s="482">
        <v>47484</v>
      </c>
      <c r="I27" s="482">
        <v>47484</v>
      </c>
      <c r="J27" s="482">
        <v>47484</v>
      </c>
      <c r="K27" s="482">
        <v>47484</v>
      </c>
      <c r="L27" s="482">
        <v>47484</v>
      </c>
      <c r="M27" s="482">
        <v>47484</v>
      </c>
      <c r="N27" s="482">
        <v>47484</v>
      </c>
      <c r="O27" s="482">
        <v>47484</v>
      </c>
      <c r="P27" s="482">
        <v>47484</v>
      </c>
      <c r="Q27" s="482">
        <v>47484</v>
      </c>
      <c r="R27" s="482">
        <v>47484</v>
      </c>
      <c r="S27" s="482">
        <v>47484</v>
      </c>
      <c r="T27" s="482">
        <v>47484</v>
      </c>
      <c r="U27" s="482">
        <v>47484</v>
      </c>
      <c r="V27" s="482">
        <v>47484</v>
      </c>
      <c r="W27" s="482">
        <v>47484</v>
      </c>
      <c r="X27" s="440"/>
    </row>
    <row r="28" spans="2:24" ht="16" x14ac:dyDescent="0.2">
      <c r="B28" s="489" t="s">
        <v>535</v>
      </c>
      <c r="C28" s="474"/>
      <c r="D28" s="482">
        <v>47484</v>
      </c>
      <c r="E28" s="482">
        <v>47484</v>
      </c>
      <c r="F28" s="482">
        <v>47484</v>
      </c>
      <c r="G28" s="482">
        <v>47484</v>
      </c>
      <c r="H28" s="482">
        <v>47484</v>
      </c>
      <c r="I28" s="482">
        <v>47484</v>
      </c>
      <c r="J28" s="482">
        <v>47484</v>
      </c>
      <c r="K28" s="482">
        <v>47484</v>
      </c>
      <c r="L28" s="482">
        <v>47484</v>
      </c>
      <c r="M28" s="482">
        <v>47484</v>
      </c>
      <c r="N28" s="482">
        <v>47484</v>
      </c>
      <c r="O28" s="482">
        <v>47484</v>
      </c>
      <c r="P28" s="482">
        <v>47484</v>
      </c>
      <c r="Q28" s="482">
        <v>47484</v>
      </c>
      <c r="R28" s="482">
        <v>47484</v>
      </c>
      <c r="S28" s="482">
        <v>47484</v>
      </c>
      <c r="T28" s="482">
        <v>47484</v>
      </c>
      <c r="U28" s="482">
        <v>47484</v>
      </c>
      <c r="V28" s="482">
        <v>47484</v>
      </c>
      <c r="W28" s="482">
        <v>47484</v>
      </c>
      <c r="X28" s="440"/>
    </row>
    <row r="29" spans="2:24" ht="16" x14ac:dyDescent="0.2">
      <c r="B29" s="489" t="s">
        <v>536</v>
      </c>
      <c r="C29" s="474"/>
      <c r="D29" s="482">
        <v>47484</v>
      </c>
      <c r="E29" s="482">
        <v>47484</v>
      </c>
      <c r="F29" s="482">
        <v>47484</v>
      </c>
      <c r="G29" s="482">
        <v>47484</v>
      </c>
      <c r="H29" s="482">
        <v>47484</v>
      </c>
      <c r="I29" s="482">
        <v>47484</v>
      </c>
      <c r="J29" s="482">
        <v>47484</v>
      </c>
      <c r="K29" s="482">
        <v>47484</v>
      </c>
      <c r="L29" s="482">
        <v>47484</v>
      </c>
      <c r="M29" s="482">
        <v>47484</v>
      </c>
      <c r="N29" s="482">
        <v>47484</v>
      </c>
      <c r="O29" s="482">
        <v>47484</v>
      </c>
      <c r="P29" s="482">
        <v>47484</v>
      </c>
      <c r="Q29" s="482">
        <v>47484</v>
      </c>
      <c r="R29" s="482">
        <v>47484</v>
      </c>
      <c r="S29" s="482">
        <v>47484</v>
      </c>
      <c r="T29" s="482">
        <v>47484</v>
      </c>
      <c r="U29" s="482">
        <v>47484</v>
      </c>
      <c r="V29" s="482">
        <v>47484</v>
      </c>
      <c r="W29" s="482">
        <v>47484</v>
      </c>
      <c r="X29" s="440"/>
    </row>
    <row r="30" spans="2:24" ht="16" x14ac:dyDescent="0.2">
      <c r="B30" s="489" t="s">
        <v>535</v>
      </c>
      <c r="C30" s="474"/>
      <c r="D30" s="482">
        <v>47484</v>
      </c>
      <c r="E30" s="482">
        <v>47484</v>
      </c>
      <c r="F30" s="482">
        <v>47484</v>
      </c>
      <c r="G30" s="482">
        <v>47484</v>
      </c>
      <c r="H30" s="482">
        <v>47484</v>
      </c>
      <c r="I30" s="482">
        <v>47484</v>
      </c>
      <c r="J30" s="482">
        <v>47484</v>
      </c>
      <c r="K30" s="482">
        <v>47484</v>
      </c>
      <c r="L30" s="482">
        <v>47484</v>
      </c>
      <c r="M30" s="482">
        <v>47484</v>
      </c>
      <c r="N30" s="482">
        <v>47484</v>
      </c>
      <c r="O30" s="482">
        <v>47484</v>
      </c>
      <c r="P30" s="482">
        <v>47484</v>
      </c>
      <c r="Q30" s="482">
        <v>47484</v>
      </c>
      <c r="R30" s="482">
        <v>47484</v>
      </c>
      <c r="S30" s="482">
        <v>47484</v>
      </c>
      <c r="T30" s="482">
        <v>47484</v>
      </c>
      <c r="U30" s="482">
        <v>47484</v>
      </c>
      <c r="V30" s="482">
        <v>47484</v>
      </c>
      <c r="W30" s="482">
        <v>47484</v>
      </c>
      <c r="X30" s="440"/>
    </row>
    <row r="31" spans="2:24" ht="16" x14ac:dyDescent="0.2">
      <c r="B31" s="489" t="s">
        <v>536</v>
      </c>
      <c r="C31" s="474"/>
      <c r="D31" s="482">
        <v>47484</v>
      </c>
      <c r="E31" s="482">
        <v>47484</v>
      </c>
      <c r="F31" s="482">
        <v>47484</v>
      </c>
      <c r="G31" s="482">
        <v>47484</v>
      </c>
      <c r="H31" s="482">
        <v>47484</v>
      </c>
      <c r="I31" s="482">
        <v>47484</v>
      </c>
      <c r="J31" s="482">
        <v>47484</v>
      </c>
      <c r="K31" s="482">
        <v>47484</v>
      </c>
      <c r="L31" s="482">
        <v>47484</v>
      </c>
      <c r="M31" s="482">
        <v>47484</v>
      </c>
      <c r="N31" s="482">
        <v>47484</v>
      </c>
      <c r="O31" s="482">
        <v>47484</v>
      </c>
      <c r="P31" s="482">
        <v>47484</v>
      </c>
      <c r="Q31" s="482">
        <v>47484</v>
      </c>
      <c r="R31" s="482">
        <v>47484</v>
      </c>
      <c r="S31" s="482">
        <v>47484</v>
      </c>
      <c r="T31" s="482">
        <v>47484</v>
      </c>
      <c r="U31" s="482">
        <v>47484</v>
      </c>
      <c r="V31" s="482">
        <v>47484</v>
      </c>
      <c r="W31" s="482">
        <v>47484</v>
      </c>
      <c r="X31" s="440"/>
    </row>
    <row r="32" spans="2:24" ht="16" x14ac:dyDescent="0.2">
      <c r="B32" s="489" t="s">
        <v>535</v>
      </c>
      <c r="C32" s="474"/>
      <c r="D32" s="482">
        <v>47484</v>
      </c>
      <c r="E32" s="482">
        <v>47484</v>
      </c>
      <c r="F32" s="482">
        <v>47484</v>
      </c>
      <c r="G32" s="482">
        <v>47484</v>
      </c>
      <c r="H32" s="482">
        <v>47484</v>
      </c>
      <c r="I32" s="482">
        <v>47484</v>
      </c>
      <c r="J32" s="482">
        <v>47484</v>
      </c>
      <c r="K32" s="482">
        <v>47484</v>
      </c>
      <c r="L32" s="482">
        <v>47484</v>
      </c>
      <c r="M32" s="482">
        <v>47484</v>
      </c>
      <c r="N32" s="482">
        <v>47484</v>
      </c>
      <c r="O32" s="482">
        <v>47484</v>
      </c>
      <c r="P32" s="482">
        <v>47484</v>
      </c>
      <c r="Q32" s="482">
        <v>47484</v>
      </c>
      <c r="R32" s="482">
        <v>47484</v>
      </c>
      <c r="S32" s="482">
        <v>47484</v>
      </c>
      <c r="T32" s="482">
        <v>47484</v>
      </c>
      <c r="U32" s="482">
        <v>47484</v>
      </c>
      <c r="V32" s="482">
        <v>47484</v>
      </c>
      <c r="W32" s="482">
        <v>47484</v>
      </c>
      <c r="X32" s="440"/>
    </row>
    <row r="33" spans="2:24" ht="16" x14ac:dyDescent="0.2">
      <c r="B33" s="489" t="s">
        <v>536</v>
      </c>
      <c r="C33" s="474"/>
      <c r="D33" s="482">
        <v>47484</v>
      </c>
      <c r="E33" s="482">
        <v>47484</v>
      </c>
      <c r="F33" s="482">
        <v>47484</v>
      </c>
      <c r="G33" s="482">
        <v>47484</v>
      </c>
      <c r="H33" s="482">
        <v>47484</v>
      </c>
      <c r="I33" s="482">
        <v>47484</v>
      </c>
      <c r="J33" s="482">
        <v>47484</v>
      </c>
      <c r="K33" s="482">
        <v>47484</v>
      </c>
      <c r="L33" s="482">
        <v>47484</v>
      </c>
      <c r="M33" s="482">
        <v>47484</v>
      </c>
      <c r="N33" s="482">
        <v>47484</v>
      </c>
      <c r="O33" s="482">
        <v>47484</v>
      </c>
      <c r="P33" s="482">
        <v>47484</v>
      </c>
      <c r="Q33" s="482">
        <v>47484</v>
      </c>
      <c r="R33" s="482">
        <v>47484</v>
      </c>
      <c r="S33" s="482">
        <v>47484</v>
      </c>
      <c r="T33" s="482">
        <v>47484</v>
      </c>
      <c r="U33" s="482">
        <v>47484</v>
      </c>
      <c r="V33" s="482">
        <v>47484</v>
      </c>
      <c r="W33" s="482">
        <v>47484</v>
      </c>
      <c r="X33" s="440"/>
    </row>
    <row r="34" spans="2:24" ht="16" x14ac:dyDescent="0.2">
      <c r="B34" s="489" t="s">
        <v>535</v>
      </c>
      <c r="C34" s="474"/>
      <c r="D34" s="482">
        <v>47484</v>
      </c>
      <c r="E34" s="482">
        <v>47484</v>
      </c>
      <c r="F34" s="482">
        <v>47484</v>
      </c>
      <c r="G34" s="482">
        <v>47484</v>
      </c>
      <c r="H34" s="482">
        <v>47484</v>
      </c>
      <c r="I34" s="482">
        <v>47484</v>
      </c>
      <c r="J34" s="482">
        <v>47484</v>
      </c>
      <c r="K34" s="482">
        <v>47484</v>
      </c>
      <c r="L34" s="482">
        <v>47484</v>
      </c>
      <c r="M34" s="482">
        <v>47484</v>
      </c>
      <c r="N34" s="482">
        <v>47484</v>
      </c>
      <c r="O34" s="482">
        <v>47484</v>
      </c>
      <c r="P34" s="482">
        <v>47484</v>
      </c>
      <c r="Q34" s="482">
        <v>47484</v>
      </c>
      <c r="R34" s="482">
        <v>47484</v>
      </c>
      <c r="S34" s="482">
        <v>47484</v>
      </c>
      <c r="T34" s="482">
        <v>47484</v>
      </c>
      <c r="U34" s="482">
        <v>47484</v>
      </c>
      <c r="V34" s="482">
        <v>47484</v>
      </c>
      <c r="W34" s="482">
        <v>47484</v>
      </c>
      <c r="X34" s="440"/>
    </row>
    <row r="35" spans="2:24" ht="16" x14ac:dyDescent="0.2">
      <c r="B35" s="489" t="s">
        <v>536</v>
      </c>
      <c r="C35" s="474"/>
      <c r="D35" s="482">
        <v>47484</v>
      </c>
      <c r="E35" s="482">
        <v>47484</v>
      </c>
      <c r="F35" s="482">
        <v>47484</v>
      </c>
      <c r="G35" s="482">
        <v>47484</v>
      </c>
      <c r="H35" s="482">
        <v>47484</v>
      </c>
      <c r="I35" s="482">
        <v>47484</v>
      </c>
      <c r="J35" s="482">
        <v>47484</v>
      </c>
      <c r="K35" s="482">
        <v>47484</v>
      </c>
      <c r="L35" s="482">
        <v>47484</v>
      </c>
      <c r="M35" s="482">
        <v>47484</v>
      </c>
      <c r="N35" s="482">
        <v>47484</v>
      </c>
      <c r="O35" s="482">
        <v>47484</v>
      </c>
      <c r="P35" s="482">
        <v>47484</v>
      </c>
      <c r="Q35" s="482">
        <v>47484</v>
      </c>
      <c r="R35" s="482">
        <v>47484</v>
      </c>
      <c r="S35" s="482">
        <v>47484</v>
      </c>
      <c r="T35" s="482">
        <v>47484</v>
      </c>
      <c r="U35" s="482">
        <v>47484</v>
      </c>
      <c r="V35" s="482">
        <v>47484</v>
      </c>
      <c r="W35" s="482">
        <v>47484</v>
      </c>
      <c r="X35" s="440"/>
    </row>
    <row r="36" spans="2:24" ht="16" x14ac:dyDescent="0.2">
      <c r="B36" s="489" t="s">
        <v>535</v>
      </c>
      <c r="C36" s="474"/>
      <c r="D36" s="482">
        <v>47484</v>
      </c>
      <c r="E36" s="482">
        <v>47484</v>
      </c>
      <c r="F36" s="482">
        <v>47484</v>
      </c>
      <c r="G36" s="482">
        <v>47484</v>
      </c>
      <c r="H36" s="482">
        <v>47484</v>
      </c>
      <c r="I36" s="482">
        <v>47484</v>
      </c>
      <c r="J36" s="482">
        <v>47484</v>
      </c>
      <c r="K36" s="482">
        <v>47484</v>
      </c>
      <c r="L36" s="482">
        <v>47484</v>
      </c>
      <c r="M36" s="482">
        <v>47484</v>
      </c>
      <c r="N36" s="482">
        <v>47484</v>
      </c>
      <c r="O36" s="482">
        <v>47484</v>
      </c>
      <c r="P36" s="482">
        <v>47484</v>
      </c>
      <c r="Q36" s="482">
        <v>47484</v>
      </c>
      <c r="R36" s="482">
        <v>47484</v>
      </c>
      <c r="S36" s="482">
        <v>47484</v>
      </c>
      <c r="T36" s="482">
        <v>47484</v>
      </c>
      <c r="U36" s="482">
        <v>47484</v>
      </c>
      <c r="V36" s="482">
        <v>47484</v>
      </c>
      <c r="W36" s="482">
        <v>47484</v>
      </c>
      <c r="X36" s="440"/>
    </row>
    <row r="37" spans="2:24" ht="16" x14ac:dyDescent="0.2">
      <c r="B37" s="489" t="s">
        <v>536</v>
      </c>
      <c r="C37" s="474"/>
      <c r="D37" s="482">
        <v>47484</v>
      </c>
      <c r="E37" s="482">
        <v>47484</v>
      </c>
      <c r="F37" s="482">
        <v>47484</v>
      </c>
      <c r="G37" s="482">
        <v>47484</v>
      </c>
      <c r="H37" s="482">
        <v>47484</v>
      </c>
      <c r="I37" s="482">
        <v>47484</v>
      </c>
      <c r="J37" s="482">
        <v>47484</v>
      </c>
      <c r="K37" s="482">
        <v>47484</v>
      </c>
      <c r="L37" s="482">
        <v>47484</v>
      </c>
      <c r="M37" s="482">
        <v>47484</v>
      </c>
      <c r="N37" s="482">
        <v>47484</v>
      </c>
      <c r="O37" s="482">
        <v>47484</v>
      </c>
      <c r="P37" s="482">
        <v>47484</v>
      </c>
      <c r="Q37" s="482">
        <v>47484</v>
      </c>
      <c r="R37" s="482">
        <v>47484</v>
      </c>
      <c r="S37" s="482">
        <v>47484</v>
      </c>
      <c r="T37" s="482">
        <v>47484</v>
      </c>
      <c r="U37" s="482">
        <v>47484</v>
      </c>
      <c r="V37" s="482">
        <v>47484</v>
      </c>
      <c r="W37" s="482">
        <v>47484</v>
      </c>
      <c r="X37" s="440"/>
    </row>
    <row r="38" spans="2:24" ht="16" x14ac:dyDescent="0.2">
      <c r="B38" s="489" t="s">
        <v>535</v>
      </c>
      <c r="C38" s="474"/>
      <c r="D38" s="482">
        <v>47484</v>
      </c>
      <c r="E38" s="482">
        <v>47484</v>
      </c>
      <c r="F38" s="482">
        <v>47484</v>
      </c>
      <c r="G38" s="482">
        <v>47484</v>
      </c>
      <c r="H38" s="482">
        <v>47484</v>
      </c>
      <c r="I38" s="482">
        <v>47484</v>
      </c>
      <c r="J38" s="482">
        <v>47484</v>
      </c>
      <c r="K38" s="482">
        <v>47484</v>
      </c>
      <c r="L38" s="482">
        <v>47484</v>
      </c>
      <c r="M38" s="482">
        <v>47484</v>
      </c>
      <c r="N38" s="482">
        <v>47484</v>
      </c>
      <c r="O38" s="482">
        <v>47484</v>
      </c>
      <c r="P38" s="482">
        <v>47484</v>
      </c>
      <c r="Q38" s="482">
        <v>47484</v>
      </c>
      <c r="R38" s="482">
        <v>47484</v>
      </c>
      <c r="S38" s="482">
        <v>47484</v>
      </c>
      <c r="T38" s="482">
        <v>47484</v>
      </c>
      <c r="U38" s="482">
        <v>47484</v>
      </c>
      <c r="V38" s="482">
        <v>47484</v>
      </c>
      <c r="W38" s="482">
        <v>47484</v>
      </c>
      <c r="X38" s="440"/>
    </row>
    <row r="39" spans="2:24" ht="16" x14ac:dyDescent="0.2">
      <c r="B39" s="489" t="s">
        <v>536</v>
      </c>
      <c r="C39" s="474"/>
      <c r="D39" s="482">
        <v>47484</v>
      </c>
      <c r="E39" s="482">
        <v>47484</v>
      </c>
      <c r="F39" s="482">
        <v>47484</v>
      </c>
      <c r="G39" s="482">
        <v>47484</v>
      </c>
      <c r="H39" s="482">
        <v>47484</v>
      </c>
      <c r="I39" s="482">
        <v>47484</v>
      </c>
      <c r="J39" s="482">
        <v>47484</v>
      </c>
      <c r="K39" s="482">
        <v>47484</v>
      </c>
      <c r="L39" s="482">
        <v>47484</v>
      </c>
      <c r="M39" s="482">
        <v>47484</v>
      </c>
      <c r="N39" s="482">
        <v>47484</v>
      </c>
      <c r="O39" s="482">
        <v>47484</v>
      </c>
      <c r="P39" s="482">
        <v>47484</v>
      </c>
      <c r="Q39" s="482">
        <v>47484</v>
      </c>
      <c r="R39" s="482">
        <v>47484</v>
      </c>
      <c r="S39" s="482">
        <v>47484</v>
      </c>
      <c r="T39" s="482">
        <v>47484</v>
      </c>
      <c r="U39" s="482">
        <v>47484</v>
      </c>
      <c r="V39" s="482">
        <v>47484</v>
      </c>
      <c r="W39" s="482">
        <v>47484</v>
      </c>
      <c r="X39" s="440"/>
    </row>
    <row r="40" spans="2:24" ht="16" x14ac:dyDescent="0.2">
      <c r="B40" s="489" t="s">
        <v>535</v>
      </c>
      <c r="C40" s="474"/>
      <c r="D40" s="482">
        <v>47484</v>
      </c>
      <c r="E40" s="482">
        <v>47484</v>
      </c>
      <c r="F40" s="482">
        <v>47484</v>
      </c>
      <c r="G40" s="482">
        <v>47484</v>
      </c>
      <c r="H40" s="482">
        <v>47484</v>
      </c>
      <c r="I40" s="482">
        <v>47484</v>
      </c>
      <c r="J40" s="482">
        <v>47484</v>
      </c>
      <c r="K40" s="482">
        <v>47484</v>
      </c>
      <c r="L40" s="482">
        <v>47484</v>
      </c>
      <c r="M40" s="482">
        <v>47484</v>
      </c>
      <c r="N40" s="482">
        <v>47484</v>
      </c>
      <c r="O40" s="482">
        <v>47484</v>
      </c>
      <c r="P40" s="482">
        <v>47484</v>
      </c>
      <c r="Q40" s="482">
        <v>47484</v>
      </c>
      <c r="R40" s="482">
        <v>47484</v>
      </c>
      <c r="S40" s="482">
        <v>47484</v>
      </c>
      <c r="T40" s="482">
        <v>47484</v>
      </c>
      <c r="U40" s="482">
        <v>47484</v>
      </c>
      <c r="V40" s="482">
        <v>47484</v>
      </c>
      <c r="W40" s="482">
        <v>47484</v>
      </c>
      <c r="X40" s="440"/>
    </row>
    <row r="41" spans="2:24" ht="16" x14ac:dyDescent="0.2">
      <c r="B41" s="489" t="s">
        <v>536</v>
      </c>
      <c r="C41" s="474"/>
      <c r="D41" s="482">
        <v>47484</v>
      </c>
      <c r="E41" s="482">
        <v>47484</v>
      </c>
      <c r="F41" s="482">
        <v>47484</v>
      </c>
      <c r="G41" s="482">
        <v>47484</v>
      </c>
      <c r="H41" s="482">
        <v>47484</v>
      </c>
      <c r="I41" s="482">
        <v>47484</v>
      </c>
      <c r="J41" s="482">
        <v>47484</v>
      </c>
      <c r="K41" s="482">
        <v>47484</v>
      </c>
      <c r="L41" s="482">
        <v>47484</v>
      </c>
      <c r="M41" s="482">
        <v>47484</v>
      </c>
      <c r="N41" s="482">
        <v>47484</v>
      </c>
      <c r="O41" s="482">
        <v>47484</v>
      </c>
      <c r="P41" s="482">
        <v>47484</v>
      </c>
      <c r="Q41" s="482">
        <v>47484</v>
      </c>
      <c r="R41" s="482">
        <v>47484</v>
      </c>
      <c r="S41" s="482">
        <v>47484</v>
      </c>
      <c r="T41" s="482">
        <v>47484</v>
      </c>
      <c r="U41" s="482">
        <v>47484</v>
      </c>
      <c r="V41" s="482">
        <v>47484</v>
      </c>
      <c r="W41" s="482">
        <v>47484</v>
      </c>
      <c r="X41" s="440"/>
    </row>
    <row r="42" spans="2:24" ht="16" x14ac:dyDescent="0.2">
      <c r="B42" s="489" t="s">
        <v>535</v>
      </c>
      <c r="C42" s="474"/>
      <c r="D42" s="482">
        <v>47484</v>
      </c>
      <c r="E42" s="482">
        <v>47484</v>
      </c>
      <c r="F42" s="482">
        <v>47484</v>
      </c>
      <c r="G42" s="482">
        <v>47484</v>
      </c>
      <c r="H42" s="482">
        <v>47484</v>
      </c>
      <c r="I42" s="482">
        <v>47484</v>
      </c>
      <c r="J42" s="482">
        <v>47484</v>
      </c>
      <c r="K42" s="482">
        <v>47484</v>
      </c>
      <c r="L42" s="482">
        <v>47484</v>
      </c>
      <c r="M42" s="482">
        <v>47484</v>
      </c>
      <c r="N42" s="482">
        <v>47484</v>
      </c>
      <c r="O42" s="482">
        <v>47484</v>
      </c>
      <c r="P42" s="482">
        <v>47484</v>
      </c>
      <c r="Q42" s="482">
        <v>47484</v>
      </c>
      <c r="R42" s="482">
        <v>47484</v>
      </c>
      <c r="S42" s="482">
        <v>47484</v>
      </c>
      <c r="T42" s="482">
        <v>47484</v>
      </c>
      <c r="U42" s="482">
        <v>47484</v>
      </c>
      <c r="V42" s="482">
        <v>47484</v>
      </c>
      <c r="W42" s="482">
        <v>47484</v>
      </c>
      <c r="X42" s="440"/>
    </row>
    <row r="43" spans="2:24" ht="16" x14ac:dyDescent="0.2">
      <c r="B43" s="489" t="s">
        <v>535</v>
      </c>
      <c r="C43" s="474"/>
      <c r="D43" s="482">
        <v>47484</v>
      </c>
      <c r="E43" s="482">
        <v>47484</v>
      </c>
      <c r="F43" s="482">
        <v>47484</v>
      </c>
      <c r="G43" s="482">
        <v>47484</v>
      </c>
      <c r="H43" s="482">
        <v>47484</v>
      </c>
      <c r="I43" s="482">
        <v>47484</v>
      </c>
      <c r="J43" s="482">
        <v>47484</v>
      </c>
      <c r="K43" s="482">
        <v>47484</v>
      </c>
      <c r="L43" s="482">
        <v>47484</v>
      </c>
      <c r="M43" s="482">
        <v>47484</v>
      </c>
      <c r="N43" s="482">
        <v>47484</v>
      </c>
      <c r="O43" s="482">
        <v>47484</v>
      </c>
      <c r="P43" s="482">
        <v>47484</v>
      </c>
      <c r="Q43" s="482">
        <v>47484</v>
      </c>
      <c r="R43" s="482">
        <v>47484</v>
      </c>
      <c r="S43" s="482">
        <v>47484</v>
      </c>
      <c r="T43" s="482">
        <v>47484</v>
      </c>
      <c r="U43" s="482">
        <v>47484</v>
      </c>
      <c r="V43" s="482">
        <v>47484</v>
      </c>
      <c r="W43" s="482">
        <v>47484</v>
      </c>
      <c r="X43" s="440"/>
    </row>
    <row r="44" spans="2:24" ht="16" x14ac:dyDescent="0.2">
      <c r="B44" s="489" t="s">
        <v>536</v>
      </c>
      <c r="C44" s="474"/>
      <c r="D44" s="482">
        <v>47484</v>
      </c>
      <c r="E44" s="482">
        <v>47484</v>
      </c>
      <c r="F44" s="482">
        <v>47484</v>
      </c>
      <c r="G44" s="482">
        <v>47484</v>
      </c>
      <c r="H44" s="482">
        <v>47484</v>
      </c>
      <c r="I44" s="482">
        <v>47484</v>
      </c>
      <c r="J44" s="482">
        <v>47484</v>
      </c>
      <c r="K44" s="482">
        <v>47484</v>
      </c>
      <c r="L44" s="482">
        <v>47484</v>
      </c>
      <c r="M44" s="482">
        <v>47484</v>
      </c>
      <c r="N44" s="482">
        <v>47484</v>
      </c>
      <c r="O44" s="482">
        <v>47484</v>
      </c>
      <c r="P44" s="482">
        <v>47484</v>
      </c>
      <c r="Q44" s="482">
        <v>47484</v>
      </c>
      <c r="R44" s="482">
        <v>47484</v>
      </c>
      <c r="S44" s="482">
        <v>47484</v>
      </c>
      <c r="T44" s="482">
        <v>47484</v>
      </c>
      <c r="U44" s="482">
        <v>47484</v>
      </c>
      <c r="V44" s="482">
        <v>47484</v>
      </c>
      <c r="W44" s="482">
        <v>47484</v>
      </c>
      <c r="X44" s="440"/>
    </row>
    <row r="45" spans="2:24" ht="16" x14ac:dyDescent="0.2">
      <c r="B45" s="489" t="s">
        <v>535</v>
      </c>
      <c r="C45" s="474"/>
      <c r="D45" s="482">
        <v>47484</v>
      </c>
      <c r="E45" s="482">
        <v>47484</v>
      </c>
      <c r="F45" s="482">
        <v>47484</v>
      </c>
      <c r="G45" s="482">
        <v>47484</v>
      </c>
      <c r="H45" s="482">
        <v>47484</v>
      </c>
      <c r="I45" s="482">
        <v>47484</v>
      </c>
      <c r="J45" s="482">
        <v>47484</v>
      </c>
      <c r="K45" s="482">
        <v>47484</v>
      </c>
      <c r="L45" s="482">
        <v>47484</v>
      </c>
      <c r="M45" s="482">
        <v>47484</v>
      </c>
      <c r="N45" s="482">
        <v>47484</v>
      </c>
      <c r="O45" s="482">
        <v>47484</v>
      </c>
      <c r="P45" s="482">
        <v>47484</v>
      </c>
      <c r="Q45" s="482">
        <v>47484</v>
      </c>
      <c r="R45" s="482">
        <v>47484</v>
      </c>
      <c r="S45" s="482">
        <v>47484</v>
      </c>
      <c r="T45" s="482">
        <v>47484</v>
      </c>
      <c r="U45" s="482">
        <v>47484</v>
      </c>
      <c r="V45" s="482">
        <v>47484</v>
      </c>
      <c r="W45" s="482">
        <v>47484</v>
      </c>
      <c r="X45" s="440"/>
    </row>
    <row r="46" spans="2:24" ht="16" x14ac:dyDescent="0.2">
      <c r="B46" s="489" t="s">
        <v>536</v>
      </c>
      <c r="C46" s="474"/>
      <c r="D46" s="482">
        <v>47484</v>
      </c>
      <c r="E46" s="482">
        <v>47484</v>
      </c>
      <c r="F46" s="482">
        <v>47484</v>
      </c>
      <c r="G46" s="482">
        <v>47484</v>
      </c>
      <c r="H46" s="482">
        <v>47484</v>
      </c>
      <c r="I46" s="482">
        <v>47484</v>
      </c>
      <c r="J46" s="482">
        <v>47484</v>
      </c>
      <c r="K46" s="482">
        <v>47484</v>
      </c>
      <c r="L46" s="482">
        <v>47484</v>
      </c>
      <c r="M46" s="482">
        <v>47484</v>
      </c>
      <c r="N46" s="482">
        <v>47484</v>
      </c>
      <c r="O46" s="482">
        <v>47484</v>
      </c>
      <c r="P46" s="482">
        <v>47484</v>
      </c>
      <c r="Q46" s="482">
        <v>47484</v>
      </c>
      <c r="R46" s="482">
        <v>47484</v>
      </c>
      <c r="S46" s="482">
        <v>47484</v>
      </c>
      <c r="T46" s="482">
        <v>47484</v>
      </c>
      <c r="U46" s="482">
        <v>47484</v>
      </c>
      <c r="V46" s="482">
        <v>47484</v>
      </c>
      <c r="W46" s="482">
        <v>47484</v>
      </c>
      <c r="X46" s="440"/>
    </row>
    <row r="47" spans="2:24" ht="16" x14ac:dyDescent="0.2">
      <c r="B47" s="489" t="s">
        <v>535</v>
      </c>
      <c r="C47" s="474"/>
      <c r="D47" s="482">
        <v>47484</v>
      </c>
      <c r="E47" s="482">
        <v>47484</v>
      </c>
      <c r="F47" s="482">
        <v>47484</v>
      </c>
      <c r="G47" s="482">
        <v>47484</v>
      </c>
      <c r="H47" s="482">
        <v>47484</v>
      </c>
      <c r="I47" s="482">
        <v>47484</v>
      </c>
      <c r="J47" s="482">
        <v>47484</v>
      </c>
      <c r="K47" s="482">
        <v>47484</v>
      </c>
      <c r="L47" s="482">
        <v>47484</v>
      </c>
      <c r="M47" s="482">
        <v>47484</v>
      </c>
      <c r="N47" s="482">
        <v>47484</v>
      </c>
      <c r="O47" s="482">
        <v>47484</v>
      </c>
      <c r="P47" s="482">
        <v>47484</v>
      </c>
      <c r="Q47" s="482">
        <v>47484</v>
      </c>
      <c r="R47" s="482">
        <v>47484</v>
      </c>
      <c r="S47" s="482">
        <v>47484</v>
      </c>
      <c r="T47" s="482">
        <v>47484</v>
      </c>
      <c r="U47" s="482">
        <v>47484</v>
      </c>
      <c r="V47" s="482">
        <v>47484</v>
      </c>
      <c r="W47" s="482">
        <v>47484</v>
      </c>
      <c r="X47" s="440"/>
    </row>
    <row r="48" spans="2:24" ht="16" x14ac:dyDescent="0.2">
      <c r="B48" s="489" t="s">
        <v>536</v>
      </c>
      <c r="C48" s="474"/>
      <c r="D48" s="482">
        <v>47484</v>
      </c>
      <c r="E48" s="482">
        <v>47484</v>
      </c>
      <c r="F48" s="482">
        <v>47484</v>
      </c>
      <c r="G48" s="482">
        <v>47484</v>
      </c>
      <c r="H48" s="482">
        <v>47484</v>
      </c>
      <c r="I48" s="482">
        <v>47484</v>
      </c>
      <c r="J48" s="482">
        <v>47484</v>
      </c>
      <c r="K48" s="482">
        <v>47484</v>
      </c>
      <c r="L48" s="482">
        <v>47484</v>
      </c>
      <c r="M48" s="482">
        <v>47484</v>
      </c>
      <c r="N48" s="482">
        <v>47484</v>
      </c>
      <c r="O48" s="482">
        <v>47484</v>
      </c>
      <c r="P48" s="482">
        <v>47484</v>
      </c>
      <c r="Q48" s="482">
        <v>47484</v>
      </c>
      <c r="R48" s="482">
        <v>47484</v>
      </c>
      <c r="S48" s="482">
        <v>47484</v>
      </c>
      <c r="T48" s="482">
        <v>47484</v>
      </c>
      <c r="U48" s="482">
        <v>47484</v>
      </c>
      <c r="V48" s="482">
        <v>47484</v>
      </c>
      <c r="W48" s="482">
        <v>47484</v>
      </c>
      <c r="X48" s="440"/>
    </row>
    <row r="49" spans="2:24" ht="16" x14ac:dyDescent="0.2">
      <c r="B49" s="489" t="s">
        <v>535</v>
      </c>
      <c r="C49" s="474"/>
      <c r="D49" s="482">
        <v>47484</v>
      </c>
      <c r="E49" s="482">
        <v>47484</v>
      </c>
      <c r="F49" s="482">
        <v>47484</v>
      </c>
      <c r="G49" s="482">
        <v>47484</v>
      </c>
      <c r="H49" s="482">
        <v>47484</v>
      </c>
      <c r="I49" s="482">
        <v>47484</v>
      </c>
      <c r="J49" s="482">
        <v>47484</v>
      </c>
      <c r="K49" s="482">
        <v>47484</v>
      </c>
      <c r="L49" s="482">
        <v>47484</v>
      </c>
      <c r="M49" s="482">
        <v>47484</v>
      </c>
      <c r="N49" s="482">
        <v>47484</v>
      </c>
      <c r="O49" s="482">
        <v>47484</v>
      </c>
      <c r="P49" s="482">
        <v>47484</v>
      </c>
      <c r="Q49" s="482">
        <v>47484</v>
      </c>
      <c r="R49" s="482">
        <v>47484</v>
      </c>
      <c r="S49" s="482">
        <v>47484</v>
      </c>
      <c r="T49" s="482">
        <v>47484</v>
      </c>
      <c r="U49" s="482">
        <v>47484</v>
      </c>
      <c r="V49" s="482">
        <v>47484</v>
      </c>
      <c r="W49" s="482">
        <v>47484</v>
      </c>
      <c r="X49" s="440"/>
    </row>
    <row r="50" spans="2:24" ht="16" x14ac:dyDescent="0.2">
      <c r="B50" s="489" t="s">
        <v>536</v>
      </c>
      <c r="C50" s="474"/>
      <c r="D50" s="482">
        <v>47484</v>
      </c>
      <c r="E50" s="482">
        <v>47484</v>
      </c>
      <c r="F50" s="482">
        <v>47484</v>
      </c>
      <c r="G50" s="482">
        <v>47484</v>
      </c>
      <c r="H50" s="482">
        <v>47484</v>
      </c>
      <c r="I50" s="482">
        <v>47484</v>
      </c>
      <c r="J50" s="482">
        <v>47484</v>
      </c>
      <c r="K50" s="482">
        <v>47484</v>
      </c>
      <c r="L50" s="482">
        <v>47484</v>
      </c>
      <c r="M50" s="482">
        <v>47484</v>
      </c>
      <c r="N50" s="482">
        <v>47484</v>
      </c>
      <c r="O50" s="482">
        <v>47484</v>
      </c>
      <c r="P50" s="482">
        <v>47484</v>
      </c>
      <c r="Q50" s="482">
        <v>47484</v>
      </c>
      <c r="R50" s="482">
        <v>47484</v>
      </c>
      <c r="S50" s="482">
        <v>47484</v>
      </c>
      <c r="T50" s="482">
        <v>47484</v>
      </c>
      <c r="U50" s="482">
        <v>47484</v>
      </c>
      <c r="V50" s="482">
        <v>47484</v>
      </c>
      <c r="W50" s="482">
        <v>47484</v>
      </c>
      <c r="X50" s="440"/>
    </row>
    <row r="51" spans="2:24" ht="16" x14ac:dyDescent="0.2">
      <c r="B51" s="489" t="s">
        <v>535</v>
      </c>
      <c r="C51" s="475"/>
      <c r="D51" s="482">
        <v>47484</v>
      </c>
      <c r="E51" s="482">
        <v>47484</v>
      </c>
      <c r="F51" s="482">
        <v>47484</v>
      </c>
      <c r="G51" s="482">
        <v>47484</v>
      </c>
      <c r="H51" s="482">
        <v>47484</v>
      </c>
      <c r="I51" s="482">
        <v>47484</v>
      </c>
      <c r="J51" s="482">
        <v>47484</v>
      </c>
      <c r="K51" s="482">
        <v>47484</v>
      </c>
      <c r="L51" s="482">
        <v>47484</v>
      </c>
      <c r="M51" s="482">
        <v>47484</v>
      </c>
      <c r="N51" s="482">
        <v>47484</v>
      </c>
      <c r="O51" s="482">
        <v>47484</v>
      </c>
      <c r="P51" s="482">
        <v>47484</v>
      </c>
      <c r="Q51" s="482">
        <v>47484</v>
      </c>
      <c r="R51" s="482">
        <v>47484</v>
      </c>
      <c r="S51" s="482">
        <v>47484</v>
      </c>
      <c r="T51" s="482">
        <v>47484</v>
      </c>
      <c r="U51" s="482">
        <v>47484</v>
      </c>
      <c r="V51" s="482">
        <v>47484</v>
      </c>
      <c r="W51" s="482">
        <v>47484</v>
      </c>
      <c r="X51" s="440"/>
    </row>
    <row r="52" spans="2:24" ht="16" x14ac:dyDescent="0.2">
      <c r="B52" s="489" t="s">
        <v>536</v>
      </c>
      <c r="C52" s="475"/>
      <c r="D52" s="482">
        <v>47484</v>
      </c>
      <c r="E52" s="482">
        <v>47484</v>
      </c>
      <c r="F52" s="482">
        <v>47484</v>
      </c>
      <c r="G52" s="482">
        <v>47484</v>
      </c>
      <c r="H52" s="482">
        <v>47484</v>
      </c>
      <c r="I52" s="482">
        <v>47484</v>
      </c>
      <c r="J52" s="482">
        <v>47484</v>
      </c>
      <c r="K52" s="482">
        <v>47484</v>
      </c>
      <c r="L52" s="482">
        <v>47484</v>
      </c>
      <c r="M52" s="482">
        <v>47484</v>
      </c>
      <c r="N52" s="482">
        <v>47484</v>
      </c>
      <c r="O52" s="482">
        <v>47484</v>
      </c>
      <c r="P52" s="482">
        <v>47484</v>
      </c>
      <c r="Q52" s="482">
        <v>47484</v>
      </c>
      <c r="R52" s="482">
        <v>47484</v>
      </c>
      <c r="S52" s="482">
        <v>47484</v>
      </c>
      <c r="T52" s="482">
        <v>47484</v>
      </c>
      <c r="U52" s="482">
        <v>47484</v>
      </c>
      <c r="V52" s="482">
        <v>47484</v>
      </c>
      <c r="W52" s="482">
        <v>47484</v>
      </c>
      <c r="X52" s="440"/>
    </row>
    <row r="53" spans="2:24" ht="16" x14ac:dyDescent="0.2">
      <c r="B53" s="489" t="s">
        <v>535</v>
      </c>
      <c r="C53" s="475"/>
      <c r="D53" s="482">
        <v>47484</v>
      </c>
      <c r="E53" s="482">
        <v>47484</v>
      </c>
      <c r="F53" s="482">
        <v>47484</v>
      </c>
      <c r="G53" s="482">
        <v>47484</v>
      </c>
      <c r="H53" s="482">
        <v>47484</v>
      </c>
      <c r="I53" s="482">
        <v>47484</v>
      </c>
      <c r="J53" s="482">
        <v>47484</v>
      </c>
      <c r="K53" s="482">
        <v>47484</v>
      </c>
      <c r="L53" s="482">
        <v>47484</v>
      </c>
      <c r="M53" s="482">
        <v>47484</v>
      </c>
      <c r="N53" s="482">
        <v>47484</v>
      </c>
      <c r="O53" s="482">
        <v>47484</v>
      </c>
      <c r="P53" s="482">
        <v>47484</v>
      </c>
      <c r="Q53" s="482">
        <v>47484</v>
      </c>
      <c r="R53" s="482">
        <v>47484</v>
      </c>
      <c r="S53" s="482">
        <v>47484</v>
      </c>
      <c r="T53" s="482">
        <v>47484</v>
      </c>
      <c r="U53" s="482">
        <v>47484</v>
      </c>
      <c r="V53" s="482">
        <v>47484</v>
      </c>
      <c r="W53" s="482">
        <v>47484</v>
      </c>
      <c r="X53" s="440"/>
    </row>
    <row r="54" spans="2:24" ht="16" x14ac:dyDescent="0.2">
      <c r="B54" s="489" t="s">
        <v>536</v>
      </c>
      <c r="C54" s="475"/>
      <c r="D54" s="482">
        <v>47484</v>
      </c>
      <c r="E54" s="482">
        <v>47484</v>
      </c>
      <c r="F54" s="482">
        <v>47484</v>
      </c>
      <c r="G54" s="482">
        <v>47484</v>
      </c>
      <c r="H54" s="482">
        <v>47484</v>
      </c>
      <c r="I54" s="482">
        <v>47484</v>
      </c>
      <c r="J54" s="482">
        <v>47484</v>
      </c>
      <c r="K54" s="482">
        <v>47484</v>
      </c>
      <c r="L54" s="482">
        <v>47484</v>
      </c>
      <c r="M54" s="482">
        <v>47484</v>
      </c>
      <c r="N54" s="482">
        <v>47484</v>
      </c>
      <c r="O54" s="482">
        <v>47484</v>
      </c>
      <c r="P54" s="482">
        <v>47484</v>
      </c>
      <c r="Q54" s="482">
        <v>47484</v>
      </c>
      <c r="R54" s="482">
        <v>47484</v>
      </c>
      <c r="S54" s="482">
        <v>47484</v>
      </c>
      <c r="T54" s="482">
        <v>47484</v>
      </c>
      <c r="U54" s="482">
        <v>47484</v>
      </c>
      <c r="V54" s="482">
        <v>47484</v>
      </c>
      <c r="W54" s="482">
        <v>47484</v>
      </c>
      <c r="X54" s="440"/>
    </row>
    <row r="55" spans="2:24" ht="16" x14ac:dyDescent="0.2">
      <c r="B55" s="489" t="s">
        <v>535</v>
      </c>
      <c r="C55" s="475"/>
      <c r="D55" s="482">
        <v>47484</v>
      </c>
      <c r="E55" s="482">
        <v>47484</v>
      </c>
      <c r="F55" s="482">
        <v>47484</v>
      </c>
      <c r="G55" s="482">
        <v>47484</v>
      </c>
      <c r="H55" s="482">
        <v>47484</v>
      </c>
      <c r="I55" s="482">
        <v>47484</v>
      </c>
      <c r="J55" s="482">
        <v>47484</v>
      </c>
      <c r="K55" s="482">
        <v>47484</v>
      </c>
      <c r="L55" s="482">
        <v>47484</v>
      </c>
      <c r="M55" s="482">
        <v>47484</v>
      </c>
      <c r="N55" s="482">
        <v>47484</v>
      </c>
      <c r="O55" s="482">
        <v>47484</v>
      </c>
      <c r="P55" s="482">
        <v>47484</v>
      </c>
      <c r="Q55" s="482">
        <v>47484</v>
      </c>
      <c r="R55" s="482">
        <v>47484</v>
      </c>
      <c r="S55" s="482">
        <v>47484</v>
      </c>
      <c r="T55" s="482">
        <v>47484</v>
      </c>
      <c r="U55" s="482">
        <v>47484</v>
      </c>
      <c r="V55" s="482">
        <v>47484</v>
      </c>
      <c r="W55" s="482">
        <v>47484</v>
      </c>
      <c r="X55" s="440"/>
    </row>
    <row r="56" spans="2:24" ht="16" x14ac:dyDescent="0.2">
      <c r="B56" s="489" t="s">
        <v>536</v>
      </c>
      <c r="C56" s="475"/>
      <c r="D56" s="482">
        <v>47484</v>
      </c>
      <c r="E56" s="482">
        <v>47484</v>
      </c>
      <c r="F56" s="482">
        <v>47484</v>
      </c>
      <c r="G56" s="482">
        <v>47484</v>
      </c>
      <c r="H56" s="482">
        <v>47484</v>
      </c>
      <c r="I56" s="482">
        <v>47484</v>
      </c>
      <c r="J56" s="482">
        <v>47484</v>
      </c>
      <c r="K56" s="482">
        <v>47484</v>
      </c>
      <c r="L56" s="482">
        <v>47484</v>
      </c>
      <c r="M56" s="482">
        <v>47484</v>
      </c>
      <c r="N56" s="482">
        <v>47484</v>
      </c>
      <c r="O56" s="482">
        <v>47484</v>
      </c>
      <c r="P56" s="482">
        <v>47484</v>
      </c>
      <c r="Q56" s="482">
        <v>47484</v>
      </c>
      <c r="R56" s="482">
        <v>47484</v>
      </c>
      <c r="S56" s="482">
        <v>47484</v>
      </c>
      <c r="T56" s="482">
        <v>47484</v>
      </c>
      <c r="U56" s="482">
        <v>47484</v>
      </c>
      <c r="V56" s="482">
        <v>47484</v>
      </c>
      <c r="W56" s="482">
        <v>47484</v>
      </c>
      <c r="X56" s="440"/>
    </row>
    <row r="57" spans="2:24" ht="16" x14ac:dyDescent="0.2">
      <c r="B57" s="489" t="s">
        <v>535</v>
      </c>
      <c r="C57" s="475"/>
      <c r="D57" s="482">
        <v>47484</v>
      </c>
      <c r="E57" s="482">
        <v>47484</v>
      </c>
      <c r="F57" s="482">
        <v>47484</v>
      </c>
      <c r="G57" s="482">
        <v>47484</v>
      </c>
      <c r="H57" s="482">
        <v>47484</v>
      </c>
      <c r="I57" s="482">
        <v>47484</v>
      </c>
      <c r="J57" s="482">
        <v>47484</v>
      </c>
      <c r="K57" s="482">
        <v>47484</v>
      </c>
      <c r="L57" s="482">
        <v>47484</v>
      </c>
      <c r="M57" s="482">
        <v>47484</v>
      </c>
      <c r="N57" s="482">
        <v>47484</v>
      </c>
      <c r="O57" s="482">
        <v>47484</v>
      </c>
      <c r="P57" s="482">
        <v>47484</v>
      </c>
      <c r="Q57" s="482">
        <v>47484</v>
      </c>
      <c r="R57" s="482">
        <v>47484</v>
      </c>
      <c r="S57" s="482">
        <v>47484</v>
      </c>
      <c r="T57" s="482">
        <v>47484</v>
      </c>
      <c r="U57" s="482">
        <v>47484</v>
      </c>
      <c r="V57" s="482">
        <v>47484</v>
      </c>
      <c r="W57" s="482">
        <v>47484</v>
      </c>
      <c r="X57" s="440"/>
    </row>
    <row r="58" spans="2:24" ht="16" x14ac:dyDescent="0.2">
      <c r="B58" s="489" t="s">
        <v>536</v>
      </c>
      <c r="C58" s="475"/>
      <c r="D58" s="482">
        <v>47484</v>
      </c>
      <c r="E58" s="482">
        <v>47484</v>
      </c>
      <c r="F58" s="482">
        <v>47484</v>
      </c>
      <c r="G58" s="482">
        <v>47484</v>
      </c>
      <c r="H58" s="482">
        <v>47484</v>
      </c>
      <c r="I58" s="482">
        <v>47484</v>
      </c>
      <c r="J58" s="482">
        <v>47484</v>
      </c>
      <c r="K58" s="482">
        <v>47484</v>
      </c>
      <c r="L58" s="482">
        <v>47484</v>
      </c>
      <c r="M58" s="482">
        <v>47484</v>
      </c>
      <c r="N58" s="482">
        <v>47484</v>
      </c>
      <c r="O58" s="482">
        <v>47484</v>
      </c>
      <c r="P58" s="482">
        <v>47484</v>
      </c>
      <c r="Q58" s="482">
        <v>47484</v>
      </c>
      <c r="R58" s="482">
        <v>47484</v>
      </c>
      <c r="S58" s="482">
        <v>47484</v>
      </c>
      <c r="T58" s="482">
        <v>47484</v>
      </c>
      <c r="U58" s="482">
        <v>47484</v>
      </c>
      <c r="V58" s="482">
        <v>47484</v>
      </c>
      <c r="W58" s="482">
        <v>47484</v>
      </c>
      <c r="X58" s="440"/>
    </row>
    <row r="59" spans="2:24" ht="16" x14ac:dyDescent="0.2">
      <c r="B59" s="489" t="s">
        <v>535</v>
      </c>
      <c r="C59" s="475"/>
      <c r="D59" s="482">
        <v>47484</v>
      </c>
      <c r="E59" s="482">
        <v>47484</v>
      </c>
      <c r="F59" s="482">
        <v>47484</v>
      </c>
      <c r="G59" s="482">
        <v>47484</v>
      </c>
      <c r="H59" s="482">
        <v>47484</v>
      </c>
      <c r="I59" s="482">
        <v>47484</v>
      </c>
      <c r="J59" s="482">
        <v>47484</v>
      </c>
      <c r="K59" s="482">
        <v>47484</v>
      </c>
      <c r="L59" s="482">
        <v>47484</v>
      </c>
      <c r="M59" s="482">
        <v>47484</v>
      </c>
      <c r="N59" s="482">
        <v>47484</v>
      </c>
      <c r="O59" s="482">
        <v>47484</v>
      </c>
      <c r="P59" s="482">
        <v>47484</v>
      </c>
      <c r="Q59" s="482">
        <v>47484</v>
      </c>
      <c r="R59" s="482">
        <v>47484</v>
      </c>
      <c r="S59" s="482">
        <v>47484</v>
      </c>
      <c r="T59" s="482">
        <v>47484</v>
      </c>
      <c r="U59" s="482">
        <v>47484</v>
      </c>
      <c r="V59" s="482">
        <v>47484</v>
      </c>
      <c r="W59" s="482">
        <v>47484</v>
      </c>
      <c r="X59" s="440"/>
    </row>
    <row r="60" spans="2:24" ht="16" x14ac:dyDescent="0.2">
      <c r="B60" s="489" t="s">
        <v>536</v>
      </c>
      <c r="C60" s="475"/>
      <c r="D60" s="482">
        <v>47484</v>
      </c>
      <c r="E60" s="482">
        <v>47484</v>
      </c>
      <c r="F60" s="482">
        <v>47484</v>
      </c>
      <c r="G60" s="482">
        <v>47484</v>
      </c>
      <c r="H60" s="482">
        <v>47484</v>
      </c>
      <c r="I60" s="482">
        <v>47484</v>
      </c>
      <c r="J60" s="482">
        <v>47484</v>
      </c>
      <c r="K60" s="482">
        <v>47484</v>
      </c>
      <c r="L60" s="482">
        <v>47484</v>
      </c>
      <c r="M60" s="482">
        <v>47484</v>
      </c>
      <c r="N60" s="482">
        <v>47484</v>
      </c>
      <c r="O60" s="482">
        <v>47484</v>
      </c>
      <c r="P60" s="482">
        <v>47484</v>
      </c>
      <c r="Q60" s="482">
        <v>47484</v>
      </c>
      <c r="R60" s="482">
        <v>47484</v>
      </c>
      <c r="S60" s="482">
        <v>47484</v>
      </c>
      <c r="T60" s="482">
        <v>47484</v>
      </c>
      <c r="U60" s="482">
        <v>47484</v>
      </c>
      <c r="V60" s="482">
        <v>47484</v>
      </c>
      <c r="W60" s="482">
        <v>47484</v>
      </c>
      <c r="X60" s="440"/>
    </row>
    <row r="61" spans="2:24" ht="16" x14ac:dyDescent="0.2">
      <c r="B61" s="489" t="s">
        <v>535</v>
      </c>
      <c r="C61" s="475"/>
      <c r="D61" s="482">
        <v>47484</v>
      </c>
      <c r="E61" s="482">
        <v>47484</v>
      </c>
      <c r="F61" s="482">
        <v>47484</v>
      </c>
      <c r="G61" s="482">
        <v>47484</v>
      </c>
      <c r="H61" s="482">
        <v>47484</v>
      </c>
      <c r="I61" s="482">
        <v>47484</v>
      </c>
      <c r="J61" s="482">
        <v>47484</v>
      </c>
      <c r="K61" s="482">
        <v>47484</v>
      </c>
      <c r="L61" s="482">
        <v>47484</v>
      </c>
      <c r="M61" s="482">
        <v>47484</v>
      </c>
      <c r="N61" s="482">
        <v>47484</v>
      </c>
      <c r="O61" s="482">
        <v>47484</v>
      </c>
      <c r="P61" s="482">
        <v>47484</v>
      </c>
      <c r="Q61" s="482">
        <v>47484</v>
      </c>
      <c r="R61" s="482">
        <v>47484</v>
      </c>
      <c r="S61" s="482">
        <v>47484</v>
      </c>
      <c r="T61" s="482">
        <v>47484</v>
      </c>
      <c r="U61" s="482">
        <v>47484</v>
      </c>
      <c r="V61" s="482">
        <v>47484</v>
      </c>
      <c r="W61" s="482">
        <v>47484</v>
      </c>
      <c r="X61" s="440"/>
    </row>
    <row r="62" spans="2:24" ht="16" x14ac:dyDescent="0.2">
      <c r="B62" s="489" t="s">
        <v>535</v>
      </c>
      <c r="C62" s="475"/>
      <c r="D62" s="482">
        <v>47484</v>
      </c>
      <c r="E62" s="482">
        <v>47484</v>
      </c>
      <c r="F62" s="482">
        <v>47484</v>
      </c>
      <c r="G62" s="482">
        <v>47484</v>
      </c>
      <c r="H62" s="482">
        <v>47484</v>
      </c>
      <c r="I62" s="482">
        <v>47484</v>
      </c>
      <c r="J62" s="482">
        <v>47484</v>
      </c>
      <c r="K62" s="482">
        <v>47484</v>
      </c>
      <c r="L62" s="482">
        <v>47484</v>
      </c>
      <c r="M62" s="482">
        <v>47484</v>
      </c>
      <c r="N62" s="482">
        <v>47484</v>
      </c>
      <c r="O62" s="482">
        <v>47484</v>
      </c>
      <c r="P62" s="482">
        <v>47484</v>
      </c>
      <c r="Q62" s="482">
        <v>47484</v>
      </c>
      <c r="R62" s="482">
        <v>47484</v>
      </c>
      <c r="S62" s="482">
        <v>47484</v>
      </c>
      <c r="T62" s="482">
        <v>47484</v>
      </c>
      <c r="U62" s="482">
        <v>47484</v>
      </c>
      <c r="V62" s="482">
        <v>47484</v>
      </c>
      <c r="W62" s="482">
        <v>47484</v>
      </c>
      <c r="X62" s="440"/>
    </row>
    <row r="63" spans="2:24" ht="16" x14ac:dyDescent="0.2">
      <c r="B63" s="489" t="s">
        <v>536</v>
      </c>
      <c r="C63" s="475"/>
      <c r="D63" s="482">
        <v>47484</v>
      </c>
      <c r="E63" s="482">
        <v>47484</v>
      </c>
      <c r="F63" s="482">
        <v>47484</v>
      </c>
      <c r="G63" s="482">
        <v>47484</v>
      </c>
      <c r="H63" s="482">
        <v>47484</v>
      </c>
      <c r="I63" s="482">
        <v>47484</v>
      </c>
      <c r="J63" s="482">
        <v>47484</v>
      </c>
      <c r="K63" s="482">
        <v>47484</v>
      </c>
      <c r="L63" s="482">
        <v>47484</v>
      </c>
      <c r="M63" s="482">
        <v>47484</v>
      </c>
      <c r="N63" s="482">
        <v>47484</v>
      </c>
      <c r="O63" s="482">
        <v>47484</v>
      </c>
      <c r="P63" s="482">
        <v>47484</v>
      </c>
      <c r="Q63" s="482">
        <v>47484</v>
      </c>
      <c r="R63" s="482">
        <v>47484</v>
      </c>
      <c r="S63" s="482">
        <v>47484</v>
      </c>
      <c r="T63" s="482">
        <v>47484</v>
      </c>
      <c r="U63" s="482">
        <v>47484</v>
      </c>
      <c r="V63" s="482">
        <v>47484</v>
      </c>
      <c r="W63" s="482">
        <v>47484</v>
      </c>
      <c r="X63" s="440"/>
    </row>
    <row r="64" spans="2:24" ht="16" x14ac:dyDescent="0.2">
      <c r="B64" s="489" t="s">
        <v>535</v>
      </c>
      <c r="C64" s="475"/>
      <c r="D64" s="482">
        <v>47484</v>
      </c>
      <c r="E64" s="482">
        <v>47484</v>
      </c>
      <c r="F64" s="482">
        <v>47484</v>
      </c>
      <c r="G64" s="482">
        <v>47484</v>
      </c>
      <c r="H64" s="482">
        <v>47484</v>
      </c>
      <c r="I64" s="482">
        <v>47484</v>
      </c>
      <c r="J64" s="482">
        <v>47484</v>
      </c>
      <c r="K64" s="482">
        <v>47484</v>
      </c>
      <c r="L64" s="482">
        <v>47484</v>
      </c>
      <c r="M64" s="482">
        <v>47484</v>
      </c>
      <c r="N64" s="482">
        <v>47484</v>
      </c>
      <c r="O64" s="482">
        <v>47484</v>
      </c>
      <c r="P64" s="482">
        <v>47484</v>
      </c>
      <c r="Q64" s="482">
        <v>47484</v>
      </c>
      <c r="R64" s="482">
        <v>47484</v>
      </c>
      <c r="S64" s="482">
        <v>47484</v>
      </c>
      <c r="T64" s="482">
        <v>47484</v>
      </c>
      <c r="U64" s="482">
        <v>47484</v>
      </c>
      <c r="V64" s="482">
        <v>47484</v>
      </c>
      <c r="W64" s="482">
        <v>47484</v>
      </c>
      <c r="X64" s="440"/>
    </row>
    <row r="65" spans="2:24" ht="16" x14ac:dyDescent="0.2">
      <c r="B65" s="489" t="s">
        <v>536</v>
      </c>
      <c r="C65" s="441"/>
      <c r="D65" s="482">
        <v>47484</v>
      </c>
      <c r="E65" s="482">
        <v>47484</v>
      </c>
      <c r="F65" s="482">
        <v>47484</v>
      </c>
      <c r="G65" s="482">
        <v>47484</v>
      </c>
      <c r="H65" s="482">
        <v>47484</v>
      </c>
      <c r="I65" s="482">
        <v>47484</v>
      </c>
      <c r="J65" s="482">
        <v>47484</v>
      </c>
      <c r="K65" s="482">
        <v>47484</v>
      </c>
      <c r="L65" s="482">
        <v>47484</v>
      </c>
      <c r="M65" s="482">
        <v>47484</v>
      </c>
      <c r="N65" s="482">
        <v>47484</v>
      </c>
      <c r="O65" s="482">
        <v>47484</v>
      </c>
      <c r="P65" s="482">
        <v>47484</v>
      </c>
      <c r="Q65" s="482">
        <v>47484</v>
      </c>
      <c r="R65" s="482">
        <v>47484</v>
      </c>
      <c r="S65" s="482">
        <v>47484</v>
      </c>
      <c r="T65" s="482">
        <v>47484</v>
      </c>
      <c r="U65" s="482">
        <v>47484</v>
      </c>
      <c r="V65" s="482">
        <v>47484</v>
      </c>
      <c r="W65" s="482">
        <v>47484</v>
      </c>
      <c r="X65" s="440"/>
    </row>
    <row r="66" spans="2:24" ht="16" x14ac:dyDescent="0.2">
      <c r="B66" s="489" t="s">
        <v>535</v>
      </c>
      <c r="C66" s="441"/>
      <c r="D66" s="482">
        <v>47484</v>
      </c>
      <c r="E66" s="482">
        <v>47484</v>
      </c>
      <c r="F66" s="482">
        <v>47484</v>
      </c>
      <c r="G66" s="482">
        <v>47484</v>
      </c>
      <c r="H66" s="482">
        <v>47484</v>
      </c>
      <c r="I66" s="482">
        <v>47484</v>
      </c>
      <c r="J66" s="482">
        <v>47484</v>
      </c>
      <c r="K66" s="482">
        <v>47484</v>
      </c>
      <c r="L66" s="482">
        <v>47484</v>
      </c>
      <c r="M66" s="482">
        <v>47484</v>
      </c>
      <c r="N66" s="482">
        <v>47484</v>
      </c>
      <c r="O66" s="482">
        <v>47484</v>
      </c>
      <c r="P66" s="482">
        <v>47484</v>
      </c>
      <c r="Q66" s="482">
        <v>47484</v>
      </c>
      <c r="R66" s="482">
        <v>47484</v>
      </c>
      <c r="S66" s="482">
        <v>47484</v>
      </c>
      <c r="T66" s="482">
        <v>47484</v>
      </c>
      <c r="U66" s="482">
        <v>47484</v>
      </c>
      <c r="V66" s="482">
        <v>47484</v>
      </c>
      <c r="W66" s="482">
        <v>47484</v>
      </c>
      <c r="X66" s="440"/>
    </row>
    <row r="67" spans="2:24" ht="16" x14ac:dyDescent="0.2">
      <c r="B67" s="489" t="s">
        <v>536</v>
      </c>
      <c r="C67" s="441"/>
      <c r="D67" s="482">
        <v>47484</v>
      </c>
      <c r="E67" s="482">
        <v>47484</v>
      </c>
      <c r="F67" s="482">
        <v>47484</v>
      </c>
      <c r="G67" s="482">
        <v>47484</v>
      </c>
      <c r="H67" s="482">
        <v>47484</v>
      </c>
      <c r="I67" s="482">
        <v>47484</v>
      </c>
      <c r="J67" s="482">
        <v>47484</v>
      </c>
      <c r="K67" s="482">
        <v>47484</v>
      </c>
      <c r="L67" s="482">
        <v>47484</v>
      </c>
      <c r="M67" s="482">
        <v>47484</v>
      </c>
      <c r="N67" s="482">
        <v>47484</v>
      </c>
      <c r="O67" s="482">
        <v>47484</v>
      </c>
      <c r="P67" s="482">
        <v>47484</v>
      </c>
      <c r="Q67" s="482">
        <v>47484</v>
      </c>
      <c r="R67" s="482">
        <v>47484</v>
      </c>
      <c r="S67" s="482">
        <v>47484</v>
      </c>
      <c r="T67" s="482">
        <v>47484</v>
      </c>
      <c r="U67" s="482">
        <v>47484</v>
      </c>
      <c r="V67" s="482">
        <v>47484</v>
      </c>
      <c r="W67" s="482">
        <v>47484</v>
      </c>
      <c r="X67" s="440"/>
    </row>
    <row r="68" spans="2:24" ht="16" x14ac:dyDescent="0.2">
      <c r="B68" s="489" t="s">
        <v>535</v>
      </c>
      <c r="C68" s="441"/>
      <c r="D68" s="482">
        <v>47484</v>
      </c>
      <c r="E68" s="482">
        <v>47484</v>
      </c>
      <c r="F68" s="482">
        <v>47484</v>
      </c>
      <c r="G68" s="482">
        <v>47484</v>
      </c>
      <c r="H68" s="482">
        <v>47484</v>
      </c>
      <c r="I68" s="482">
        <v>47484</v>
      </c>
      <c r="J68" s="482">
        <v>47484</v>
      </c>
      <c r="K68" s="482">
        <v>47484</v>
      </c>
      <c r="L68" s="482">
        <v>47484</v>
      </c>
      <c r="M68" s="482">
        <v>47484</v>
      </c>
      <c r="N68" s="482">
        <v>47484</v>
      </c>
      <c r="O68" s="482">
        <v>47484</v>
      </c>
      <c r="P68" s="482">
        <v>47484</v>
      </c>
      <c r="Q68" s="482">
        <v>47484</v>
      </c>
      <c r="R68" s="482">
        <v>47484</v>
      </c>
      <c r="S68" s="482">
        <v>47484</v>
      </c>
      <c r="T68" s="482">
        <v>47484</v>
      </c>
      <c r="U68" s="482">
        <v>47484</v>
      </c>
      <c r="V68" s="482">
        <v>47484</v>
      </c>
      <c r="W68" s="482">
        <v>47484</v>
      </c>
      <c r="X68" s="440"/>
    </row>
    <row r="69" spans="2:24" ht="16" x14ac:dyDescent="0.2">
      <c r="B69" s="489" t="s">
        <v>536</v>
      </c>
      <c r="C69" s="441"/>
      <c r="D69" s="482">
        <v>47484</v>
      </c>
      <c r="E69" s="482">
        <v>47484</v>
      </c>
      <c r="F69" s="482">
        <v>47484</v>
      </c>
      <c r="G69" s="482">
        <v>47484</v>
      </c>
      <c r="H69" s="482">
        <v>47484</v>
      </c>
      <c r="I69" s="482">
        <v>47484</v>
      </c>
      <c r="J69" s="482">
        <v>47484</v>
      </c>
      <c r="K69" s="482">
        <v>47484</v>
      </c>
      <c r="L69" s="482">
        <v>47484</v>
      </c>
      <c r="M69" s="482">
        <v>47484</v>
      </c>
      <c r="N69" s="482">
        <v>47484</v>
      </c>
      <c r="O69" s="482">
        <v>47484</v>
      </c>
      <c r="P69" s="482">
        <v>47484</v>
      </c>
      <c r="Q69" s="482">
        <v>47484</v>
      </c>
      <c r="R69" s="482">
        <v>47484</v>
      </c>
      <c r="S69" s="482">
        <v>47484</v>
      </c>
      <c r="T69" s="482">
        <v>47484</v>
      </c>
      <c r="U69" s="482">
        <v>47484</v>
      </c>
      <c r="V69" s="482">
        <v>47484</v>
      </c>
      <c r="W69" s="482">
        <v>47484</v>
      </c>
      <c r="X69" s="440"/>
    </row>
    <row r="70" spans="2:24" ht="16" x14ac:dyDescent="0.2">
      <c r="B70" s="489" t="s">
        <v>535</v>
      </c>
      <c r="C70" s="441"/>
      <c r="D70" s="482">
        <v>47484</v>
      </c>
      <c r="E70" s="482">
        <v>47484</v>
      </c>
      <c r="F70" s="482">
        <v>47484</v>
      </c>
      <c r="G70" s="482">
        <v>47484</v>
      </c>
      <c r="H70" s="482">
        <v>47484</v>
      </c>
      <c r="I70" s="482">
        <v>47484</v>
      </c>
      <c r="J70" s="482">
        <v>47484</v>
      </c>
      <c r="K70" s="482">
        <v>47484</v>
      </c>
      <c r="L70" s="482">
        <v>47484</v>
      </c>
      <c r="M70" s="482">
        <v>47484</v>
      </c>
      <c r="N70" s="482">
        <v>47484</v>
      </c>
      <c r="O70" s="482">
        <v>47484</v>
      </c>
      <c r="P70" s="482">
        <v>47484</v>
      </c>
      <c r="Q70" s="482">
        <v>47484</v>
      </c>
      <c r="R70" s="482">
        <v>47484</v>
      </c>
      <c r="S70" s="482">
        <v>47484</v>
      </c>
      <c r="T70" s="482">
        <v>47484</v>
      </c>
      <c r="U70" s="482">
        <v>47484</v>
      </c>
      <c r="V70" s="482">
        <v>47484</v>
      </c>
      <c r="W70" s="482">
        <v>47484</v>
      </c>
      <c r="X70" s="440"/>
    </row>
    <row r="71" spans="2:24" ht="16" x14ac:dyDescent="0.2">
      <c r="B71" s="489" t="s">
        <v>536</v>
      </c>
      <c r="C71" s="441"/>
      <c r="D71" s="482">
        <v>47484</v>
      </c>
      <c r="E71" s="482">
        <v>47484</v>
      </c>
      <c r="F71" s="482">
        <v>47484</v>
      </c>
      <c r="G71" s="482">
        <v>47484</v>
      </c>
      <c r="H71" s="482">
        <v>47484</v>
      </c>
      <c r="I71" s="482">
        <v>47484</v>
      </c>
      <c r="J71" s="482">
        <v>47484</v>
      </c>
      <c r="K71" s="482">
        <v>47484</v>
      </c>
      <c r="L71" s="482">
        <v>47484</v>
      </c>
      <c r="M71" s="482">
        <v>47484</v>
      </c>
      <c r="N71" s="482">
        <v>47484</v>
      </c>
      <c r="O71" s="482">
        <v>47484</v>
      </c>
      <c r="P71" s="482">
        <v>47484</v>
      </c>
      <c r="Q71" s="482">
        <v>47484</v>
      </c>
      <c r="R71" s="482">
        <v>47484</v>
      </c>
      <c r="S71" s="482">
        <v>47484</v>
      </c>
      <c r="T71" s="482">
        <v>47484</v>
      </c>
      <c r="U71" s="482">
        <v>47484</v>
      </c>
      <c r="V71" s="482">
        <v>47484</v>
      </c>
      <c r="W71" s="482">
        <v>47484</v>
      </c>
      <c r="X71" s="440"/>
    </row>
    <row r="72" spans="2:24" ht="16" x14ac:dyDescent="0.2">
      <c r="B72" s="489" t="s">
        <v>535</v>
      </c>
      <c r="C72" s="441"/>
      <c r="D72" s="482">
        <v>47484</v>
      </c>
      <c r="E72" s="482">
        <v>47484</v>
      </c>
      <c r="F72" s="482">
        <v>47484</v>
      </c>
      <c r="G72" s="482">
        <v>47484</v>
      </c>
      <c r="H72" s="482">
        <v>47484</v>
      </c>
      <c r="I72" s="482">
        <v>47484</v>
      </c>
      <c r="J72" s="482">
        <v>47484</v>
      </c>
      <c r="K72" s="482">
        <v>47484</v>
      </c>
      <c r="L72" s="482">
        <v>47484</v>
      </c>
      <c r="M72" s="482">
        <v>47484</v>
      </c>
      <c r="N72" s="482">
        <v>47484</v>
      </c>
      <c r="O72" s="482">
        <v>47484</v>
      </c>
      <c r="P72" s="482">
        <v>47484</v>
      </c>
      <c r="Q72" s="482">
        <v>47484</v>
      </c>
      <c r="R72" s="482">
        <v>47484</v>
      </c>
      <c r="S72" s="482">
        <v>47484</v>
      </c>
      <c r="T72" s="482">
        <v>47484</v>
      </c>
      <c r="U72" s="482">
        <v>47484</v>
      </c>
      <c r="V72" s="482">
        <v>47484</v>
      </c>
      <c r="W72" s="482">
        <v>47484</v>
      </c>
      <c r="X72" s="440"/>
    </row>
    <row r="73" spans="2:24" ht="16" x14ac:dyDescent="0.2">
      <c r="B73" s="489" t="s">
        <v>536</v>
      </c>
      <c r="C73" s="441"/>
      <c r="D73" s="482">
        <v>47484</v>
      </c>
      <c r="E73" s="482">
        <v>47484</v>
      </c>
      <c r="F73" s="482">
        <v>47484</v>
      </c>
      <c r="G73" s="482">
        <v>47484</v>
      </c>
      <c r="H73" s="482">
        <v>47484</v>
      </c>
      <c r="I73" s="482">
        <v>47484</v>
      </c>
      <c r="J73" s="482">
        <v>47484</v>
      </c>
      <c r="K73" s="482">
        <v>47484</v>
      </c>
      <c r="L73" s="482">
        <v>47484</v>
      </c>
      <c r="M73" s="482">
        <v>47484</v>
      </c>
      <c r="N73" s="482">
        <v>47484</v>
      </c>
      <c r="O73" s="482">
        <v>47484</v>
      </c>
      <c r="P73" s="482">
        <v>47484</v>
      </c>
      <c r="Q73" s="482">
        <v>47484</v>
      </c>
      <c r="R73" s="482">
        <v>47484</v>
      </c>
      <c r="S73" s="482">
        <v>47484</v>
      </c>
      <c r="T73" s="482">
        <v>47484</v>
      </c>
      <c r="U73" s="482">
        <v>47484</v>
      </c>
      <c r="V73" s="482">
        <v>47484</v>
      </c>
      <c r="W73" s="482">
        <v>47484</v>
      </c>
      <c r="X73" s="440"/>
    </row>
    <row r="74" spans="2:24" ht="16" x14ac:dyDescent="0.2">
      <c r="B74" s="489" t="s">
        <v>535</v>
      </c>
      <c r="C74" s="441"/>
      <c r="D74" s="482">
        <v>47484</v>
      </c>
      <c r="E74" s="482">
        <v>47484</v>
      </c>
      <c r="F74" s="482">
        <v>47484</v>
      </c>
      <c r="G74" s="482">
        <v>47484</v>
      </c>
      <c r="H74" s="482">
        <v>47484</v>
      </c>
      <c r="I74" s="482">
        <v>47484</v>
      </c>
      <c r="J74" s="482">
        <v>47484</v>
      </c>
      <c r="K74" s="482">
        <v>47484</v>
      </c>
      <c r="L74" s="482">
        <v>47484</v>
      </c>
      <c r="M74" s="482">
        <v>47484</v>
      </c>
      <c r="N74" s="482">
        <v>47484</v>
      </c>
      <c r="O74" s="482">
        <v>47484</v>
      </c>
      <c r="P74" s="482">
        <v>47484</v>
      </c>
      <c r="Q74" s="482">
        <v>47484</v>
      </c>
      <c r="R74" s="482">
        <v>47484</v>
      </c>
      <c r="S74" s="482">
        <v>47484</v>
      </c>
      <c r="T74" s="482">
        <v>47484</v>
      </c>
      <c r="U74" s="482">
        <v>47484</v>
      </c>
      <c r="V74" s="482">
        <v>47484</v>
      </c>
      <c r="W74" s="482">
        <v>47484</v>
      </c>
      <c r="X74" s="440"/>
    </row>
    <row r="75" spans="2:24" ht="16" x14ac:dyDescent="0.2">
      <c r="B75" s="489" t="s">
        <v>536</v>
      </c>
      <c r="C75" s="441"/>
      <c r="D75" s="482">
        <v>47484</v>
      </c>
      <c r="E75" s="482">
        <v>47484</v>
      </c>
      <c r="F75" s="482">
        <v>47484</v>
      </c>
      <c r="G75" s="482">
        <v>47484</v>
      </c>
      <c r="H75" s="482">
        <v>47484</v>
      </c>
      <c r="I75" s="482">
        <v>47484</v>
      </c>
      <c r="J75" s="482">
        <v>47484</v>
      </c>
      <c r="K75" s="482">
        <v>47484</v>
      </c>
      <c r="L75" s="482">
        <v>47484</v>
      </c>
      <c r="M75" s="482">
        <v>47484</v>
      </c>
      <c r="N75" s="482">
        <v>47484</v>
      </c>
      <c r="O75" s="482">
        <v>47484</v>
      </c>
      <c r="P75" s="482">
        <v>47484</v>
      </c>
      <c r="Q75" s="482">
        <v>47484</v>
      </c>
      <c r="R75" s="482">
        <v>47484</v>
      </c>
      <c r="S75" s="482">
        <v>47484</v>
      </c>
      <c r="T75" s="482">
        <v>47484</v>
      </c>
      <c r="U75" s="482">
        <v>47484</v>
      </c>
      <c r="V75" s="482">
        <v>47484</v>
      </c>
      <c r="W75" s="482">
        <v>47484</v>
      </c>
      <c r="X75" s="440"/>
    </row>
    <row r="76" spans="2:24" ht="16" x14ac:dyDescent="0.2">
      <c r="B76" s="489" t="s">
        <v>535</v>
      </c>
      <c r="C76" s="441"/>
      <c r="D76" s="482">
        <v>47484</v>
      </c>
      <c r="E76" s="482">
        <v>47484</v>
      </c>
      <c r="F76" s="482">
        <v>47484</v>
      </c>
      <c r="G76" s="482">
        <v>47484</v>
      </c>
      <c r="H76" s="482">
        <v>47484</v>
      </c>
      <c r="I76" s="482">
        <v>47484</v>
      </c>
      <c r="J76" s="482">
        <v>47484</v>
      </c>
      <c r="K76" s="482">
        <v>47484</v>
      </c>
      <c r="L76" s="482">
        <v>47484</v>
      </c>
      <c r="M76" s="482">
        <v>47484</v>
      </c>
      <c r="N76" s="482">
        <v>47484</v>
      </c>
      <c r="O76" s="482">
        <v>47484</v>
      </c>
      <c r="P76" s="482">
        <v>47484</v>
      </c>
      <c r="Q76" s="482">
        <v>47484</v>
      </c>
      <c r="R76" s="482">
        <v>47484</v>
      </c>
      <c r="S76" s="482">
        <v>47484</v>
      </c>
      <c r="T76" s="482">
        <v>47484</v>
      </c>
      <c r="U76" s="482">
        <v>47484</v>
      </c>
      <c r="V76" s="482">
        <v>47484</v>
      </c>
      <c r="W76" s="482">
        <v>47484</v>
      </c>
      <c r="X76" s="440"/>
    </row>
    <row r="77" spans="2:24" ht="16" x14ac:dyDescent="0.2">
      <c r="B77" s="489" t="s">
        <v>536</v>
      </c>
      <c r="C77" s="441"/>
      <c r="D77" s="482">
        <v>47484</v>
      </c>
      <c r="E77" s="482">
        <v>47484</v>
      </c>
      <c r="F77" s="482">
        <v>47484</v>
      </c>
      <c r="G77" s="482">
        <v>47484</v>
      </c>
      <c r="H77" s="482">
        <v>47484</v>
      </c>
      <c r="I77" s="482">
        <v>47484</v>
      </c>
      <c r="J77" s="482">
        <v>47484</v>
      </c>
      <c r="K77" s="482">
        <v>47484</v>
      </c>
      <c r="L77" s="482">
        <v>47484</v>
      </c>
      <c r="M77" s="482">
        <v>47484</v>
      </c>
      <c r="N77" s="482">
        <v>47484</v>
      </c>
      <c r="O77" s="482">
        <v>47484</v>
      </c>
      <c r="P77" s="482">
        <v>47484</v>
      </c>
      <c r="Q77" s="482">
        <v>47484</v>
      </c>
      <c r="R77" s="482">
        <v>47484</v>
      </c>
      <c r="S77" s="482">
        <v>47484</v>
      </c>
      <c r="T77" s="482">
        <v>47484</v>
      </c>
      <c r="U77" s="482">
        <v>47484</v>
      </c>
      <c r="V77" s="482">
        <v>47484</v>
      </c>
      <c r="W77" s="482">
        <v>47484</v>
      </c>
      <c r="X77" s="440"/>
    </row>
    <row r="78" spans="2:24" ht="16" x14ac:dyDescent="0.2">
      <c r="B78" s="489" t="s">
        <v>535</v>
      </c>
      <c r="C78" s="441"/>
      <c r="D78" s="482">
        <v>47484</v>
      </c>
      <c r="E78" s="482">
        <v>47484</v>
      </c>
      <c r="F78" s="482">
        <v>47484</v>
      </c>
      <c r="G78" s="482">
        <v>47484</v>
      </c>
      <c r="H78" s="482">
        <v>47484</v>
      </c>
      <c r="I78" s="482">
        <v>47484</v>
      </c>
      <c r="J78" s="482">
        <v>47484</v>
      </c>
      <c r="K78" s="482">
        <v>47484</v>
      </c>
      <c r="L78" s="482">
        <v>47484</v>
      </c>
      <c r="M78" s="482">
        <v>47484</v>
      </c>
      <c r="N78" s="482">
        <v>47484</v>
      </c>
      <c r="O78" s="482">
        <v>47484</v>
      </c>
      <c r="P78" s="482">
        <v>47484</v>
      </c>
      <c r="Q78" s="482">
        <v>47484</v>
      </c>
      <c r="R78" s="482">
        <v>47484</v>
      </c>
      <c r="S78" s="482">
        <v>47484</v>
      </c>
      <c r="T78" s="482">
        <v>47484</v>
      </c>
      <c r="U78" s="482">
        <v>47484</v>
      </c>
      <c r="V78" s="482">
        <v>47484</v>
      </c>
      <c r="W78" s="482">
        <v>47484</v>
      </c>
      <c r="X78" s="440"/>
    </row>
    <row r="79" spans="2:24" ht="16" x14ac:dyDescent="0.2">
      <c r="B79" s="489" t="s">
        <v>536</v>
      </c>
      <c r="C79" s="441"/>
      <c r="D79" s="482">
        <v>47484</v>
      </c>
      <c r="E79" s="482">
        <v>47484</v>
      </c>
      <c r="F79" s="482">
        <v>47484</v>
      </c>
      <c r="G79" s="482">
        <v>47484</v>
      </c>
      <c r="H79" s="482">
        <v>47484</v>
      </c>
      <c r="I79" s="482">
        <v>47484</v>
      </c>
      <c r="J79" s="482">
        <v>47484</v>
      </c>
      <c r="K79" s="482">
        <v>47484</v>
      </c>
      <c r="L79" s="482">
        <v>47484</v>
      </c>
      <c r="M79" s="482">
        <v>47484</v>
      </c>
      <c r="N79" s="482">
        <v>47484</v>
      </c>
      <c r="O79" s="482">
        <v>47484</v>
      </c>
      <c r="P79" s="482">
        <v>47484</v>
      </c>
      <c r="Q79" s="482">
        <v>47484</v>
      </c>
      <c r="R79" s="482">
        <v>47484</v>
      </c>
      <c r="S79" s="482">
        <v>47484</v>
      </c>
      <c r="T79" s="482">
        <v>47484</v>
      </c>
      <c r="U79" s="482">
        <v>47484</v>
      </c>
      <c r="V79" s="482">
        <v>47484</v>
      </c>
      <c r="W79" s="482">
        <v>47484</v>
      </c>
      <c r="X79" s="440"/>
    </row>
    <row r="80" spans="2:24" ht="16" x14ac:dyDescent="0.2">
      <c r="B80" s="489" t="s">
        <v>535</v>
      </c>
      <c r="C80" s="441"/>
      <c r="D80" s="482">
        <v>47484</v>
      </c>
      <c r="E80" s="482">
        <v>47484</v>
      </c>
      <c r="F80" s="482">
        <v>47484</v>
      </c>
      <c r="G80" s="482">
        <v>47484</v>
      </c>
      <c r="H80" s="482">
        <v>47484</v>
      </c>
      <c r="I80" s="482">
        <v>47484</v>
      </c>
      <c r="J80" s="482">
        <v>47484</v>
      </c>
      <c r="K80" s="482">
        <v>47484</v>
      </c>
      <c r="L80" s="482">
        <v>47484</v>
      </c>
      <c r="M80" s="482">
        <v>47484</v>
      </c>
      <c r="N80" s="482">
        <v>47484</v>
      </c>
      <c r="O80" s="482">
        <v>47484</v>
      </c>
      <c r="P80" s="482">
        <v>47484</v>
      </c>
      <c r="Q80" s="482">
        <v>47484</v>
      </c>
      <c r="R80" s="482">
        <v>47484</v>
      </c>
      <c r="S80" s="482">
        <v>47484</v>
      </c>
      <c r="T80" s="482">
        <v>47484</v>
      </c>
      <c r="U80" s="482">
        <v>47484</v>
      </c>
      <c r="V80" s="482">
        <v>47484</v>
      </c>
      <c r="W80" s="482">
        <v>47484</v>
      </c>
      <c r="X80" s="440"/>
    </row>
    <row r="81" spans="2:24" ht="16" x14ac:dyDescent="0.2">
      <c r="B81" s="489" t="s">
        <v>535</v>
      </c>
      <c r="C81" s="441"/>
      <c r="D81" s="482">
        <v>47484</v>
      </c>
      <c r="E81" s="482">
        <v>47484</v>
      </c>
      <c r="F81" s="482">
        <v>47484</v>
      </c>
      <c r="G81" s="482">
        <v>47484</v>
      </c>
      <c r="H81" s="482">
        <v>47484</v>
      </c>
      <c r="I81" s="482">
        <v>47484</v>
      </c>
      <c r="J81" s="482">
        <v>47484</v>
      </c>
      <c r="K81" s="482">
        <v>47484</v>
      </c>
      <c r="L81" s="482">
        <v>47484</v>
      </c>
      <c r="M81" s="482">
        <v>47484</v>
      </c>
      <c r="N81" s="482">
        <v>47484</v>
      </c>
      <c r="O81" s="482">
        <v>47484</v>
      </c>
      <c r="P81" s="482">
        <v>47484</v>
      </c>
      <c r="Q81" s="482">
        <v>47484</v>
      </c>
      <c r="R81" s="482">
        <v>47484</v>
      </c>
      <c r="S81" s="482">
        <v>47484</v>
      </c>
      <c r="T81" s="482">
        <v>47484</v>
      </c>
      <c r="U81" s="482">
        <v>47484</v>
      </c>
      <c r="V81" s="482">
        <v>47484</v>
      </c>
      <c r="W81" s="482">
        <v>47484</v>
      </c>
      <c r="X81" s="440"/>
    </row>
    <row r="82" spans="2:24" ht="16" x14ac:dyDescent="0.2">
      <c r="B82" s="489" t="s">
        <v>536</v>
      </c>
      <c r="C82" s="441"/>
      <c r="D82" s="482">
        <v>47484</v>
      </c>
      <c r="E82" s="482">
        <v>47484</v>
      </c>
      <c r="F82" s="482">
        <v>47484</v>
      </c>
      <c r="G82" s="482">
        <v>47484</v>
      </c>
      <c r="H82" s="482">
        <v>47484</v>
      </c>
      <c r="I82" s="482">
        <v>47484</v>
      </c>
      <c r="J82" s="482">
        <v>47484</v>
      </c>
      <c r="K82" s="482">
        <v>47484</v>
      </c>
      <c r="L82" s="482">
        <v>47484</v>
      </c>
      <c r="M82" s="482">
        <v>47484</v>
      </c>
      <c r="N82" s="482">
        <v>47484</v>
      </c>
      <c r="O82" s="482">
        <v>47484</v>
      </c>
      <c r="P82" s="482">
        <v>47484</v>
      </c>
      <c r="Q82" s="482">
        <v>47484</v>
      </c>
      <c r="R82" s="482">
        <v>47484</v>
      </c>
      <c r="S82" s="482">
        <v>47484</v>
      </c>
      <c r="T82" s="482">
        <v>47484</v>
      </c>
      <c r="U82" s="482">
        <v>47484</v>
      </c>
      <c r="V82" s="482">
        <v>47484</v>
      </c>
      <c r="W82" s="482">
        <v>47484</v>
      </c>
      <c r="X82" s="440"/>
    </row>
    <row r="83" spans="2:24" ht="16" x14ac:dyDescent="0.2">
      <c r="B83" s="489" t="s">
        <v>535</v>
      </c>
      <c r="C83" s="441"/>
      <c r="D83" s="482">
        <v>47484</v>
      </c>
      <c r="E83" s="482">
        <v>47484</v>
      </c>
      <c r="F83" s="482">
        <v>47484</v>
      </c>
      <c r="G83" s="482">
        <v>47484</v>
      </c>
      <c r="H83" s="482">
        <v>47484</v>
      </c>
      <c r="I83" s="482">
        <v>47484</v>
      </c>
      <c r="J83" s="482">
        <v>47484</v>
      </c>
      <c r="K83" s="482">
        <v>47484</v>
      </c>
      <c r="L83" s="482">
        <v>47484</v>
      </c>
      <c r="M83" s="482">
        <v>47484</v>
      </c>
      <c r="N83" s="482">
        <v>47484</v>
      </c>
      <c r="O83" s="482">
        <v>47484</v>
      </c>
      <c r="P83" s="482">
        <v>47484</v>
      </c>
      <c r="Q83" s="482">
        <v>47484</v>
      </c>
      <c r="R83" s="482">
        <v>47484</v>
      </c>
      <c r="S83" s="482">
        <v>47484</v>
      </c>
      <c r="T83" s="482">
        <v>47484</v>
      </c>
      <c r="U83" s="482">
        <v>47484</v>
      </c>
      <c r="V83" s="482">
        <v>47484</v>
      </c>
      <c r="W83" s="482">
        <v>47484</v>
      </c>
      <c r="X83" s="440"/>
    </row>
    <row r="84" spans="2:24" ht="16" x14ac:dyDescent="0.2">
      <c r="B84" s="489" t="s">
        <v>536</v>
      </c>
      <c r="C84" s="441"/>
      <c r="D84" s="482">
        <v>47484</v>
      </c>
      <c r="E84" s="482">
        <v>47484</v>
      </c>
      <c r="F84" s="482">
        <v>47484</v>
      </c>
      <c r="G84" s="482">
        <v>47484</v>
      </c>
      <c r="H84" s="482">
        <v>47484</v>
      </c>
      <c r="I84" s="482">
        <v>47484</v>
      </c>
      <c r="J84" s="482">
        <v>47484</v>
      </c>
      <c r="K84" s="482">
        <v>47484</v>
      </c>
      <c r="L84" s="482">
        <v>47484</v>
      </c>
      <c r="M84" s="482">
        <v>47484</v>
      </c>
      <c r="N84" s="482">
        <v>47484</v>
      </c>
      <c r="O84" s="482">
        <v>47484</v>
      </c>
      <c r="P84" s="482">
        <v>47484</v>
      </c>
      <c r="Q84" s="482">
        <v>47484</v>
      </c>
      <c r="R84" s="482">
        <v>47484</v>
      </c>
      <c r="S84" s="482">
        <v>47484</v>
      </c>
      <c r="T84" s="482">
        <v>47484</v>
      </c>
      <c r="U84" s="482">
        <v>47484</v>
      </c>
      <c r="V84" s="482">
        <v>47484</v>
      </c>
      <c r="W84" s="482">
        <v>47484</v>
      </c>
      <c r="X84" s="440"/>
    </row>
    <row r="85" spans="2:24" ht="16" x14ac:dyDescent="0.2">
      <c r="B85" s="489" t="s">
        <v>535</v>
      </c>
      <c r="C85" s="441"/>
      <c r="D85" s="482">
        <v>47484</v>
      </c>
      <c r="E85" s="482">
        <v>47484</v>
      </c>
      <c r="F85" s="482">
        <v>47484</v>
      </c>
      <c r="G85" s="482">
        <v>47484</v>
      </c>
      <c r="H85" s="482">
        <v>47484</v>
      </c>
      <c r="I85" s="482">
        <v>47484</v>
      </c>
      <c r="J85" s="482">
        <v>47484</v>
      </c>
      <c r="K85" s="482">
        <v>47484</v>
      </c>
      <c r="L85" s="482">
        <v>47484</v>
      </c>
      <c r="M85" s="482">
        <v>47484</v>
      </c>
      <c r="N85" s="482">
        <v>47484</v>
      </c>
      <c r="O85" s="482">
        <v>47484</v>
      </c>
      <c r="P85" s="482">
        <v>47484</v>
      </c>
      <c r="Q85" s="482">
        <v>47484</v>
      </c>
      <c r="R85" s="482">
        <v>47484</v>
      </c>
      <c r="S85" s="482">
        <v>47484</v>
      </c>
      <c r="T85" s="482">
        <v>47484</v>
      </c>
      <c r="U85" s="482">
        <v>47484</v>
      </c>
      <c r="V85" s="482">
        <v>47484</v>
      </c>
      <c r="W85" s="482">
        <v>47484</v>
      </c>
      <c r="X85" s="440"/>
    </row>
    <row r="86" spans="2:24" ht="16" x14ac:dyDescent="0.2">
      <c r="B86" s="489" t="s">
        <v>536</v>
      </c>
      <c r="C86" s="441"/>
      <c r="D86" s="482">
        <v>47484</v>
      </c>
      <c r="E86" s="482">
        <v>47484</v>
      </c>
      <c r="F86" s="482">
        <v>47484</v>
      </c>
      <c r="G86" s="482">
        <v>47484</v>
      </c>
      <c r="H86" s="482">
        <v>47484</v>
      </c>
      <c r="I86" s="482">
        <v>47484</v>
      </c>
      <c r="J86" s="482">
        <v>47484</v>
      </c>
      <c r="K86" s="482">
        <v>47484</v>
      </c>
      <c r="L86" s="482">
        <v>47484</v>
      </c>
      <c r="M86" s="482">
        <v>47484</v>
      </c>
      <c r="N86" s="482">
        <v>47484</v>
      </c>
      <c r="O86" s="482">
        <v>47484</v>
      </c>
      <c r="P86" s="482">
        <v>47484</v>
      </c>
      <c r="Q86" s="482">
        <v>47484</v>
      </c>
      <c r="R86" s="482">
        <v>47484</v>
      </c>
      <c r="S86" s="482">
        <v>47484</v>
      </c>
      <c r="T86" s="482">
        <v>47484</v>
      </c>
      <c r="U86" s="482">
        <v>47484</v>
      </c>
      <c r="V86" s="482">
        <v>47484</v>
      </c>
      <c r="W86" s="482">
        <v>47484</v>
      </c>
      <c r="X86" s="440"/>
    </row>
    <row r="87" spans="2:24" ht="16" x14ac:dyDescent="0.2">
      <c r="B87" s="489" t="s">
        <v>535</v>
      </c>
      <c r="C87" s="441"/>
      <c r="D87" s="482">
        <v>47484</v>
      </c>
      <c r="E87" s="482">
        <v>47484</v>
      </c>
      <c r="F87" s="482">
        <v>47484</v>
      </c>
      <c r="G87" s="482">
        <v>47484</v>
      </c>
      <c r="H87" s="482">
        <v>47484</v>
      </c>
      <c r="I87" s="482">
        <v>47484</v>
      </c>
      <c r="J87" s="482">
        <v>47484</v>
      </c>
      <c r="K87" s="482">
        <v>47484</v>
      </c>
      <c r="L87" s="482">
        <v>47484</v>
      </c>
      <c r="M87" s="482">
        <v>47484</v>
      </c>
      <c r="N87" s="482">
        <v>47484</v>
      </c>
      <c r="O87" s="482">
        <v>47484</v>
      </c>
      <c r="P87" s="482">
        <v>47484</v>
      </c>
      <c r="Q87" s="482">
        <v>47484</v>
      </c>
      <c r="R87" s="482">
        <v>47484</v>
      </c>
      <c r="S87" s="482">
        <v>47484</v>
      </c>
      <c r="T87" s="482">
        <v>47484</v>
      </c>
      <c r="U87" s="482">
        <v>47484</v>
      </c>
      <c r="V87" s="482">
        <v>47484</v>
      </c>
      <c r="W87" s="482">
        <v>47484</v>
      </c>
      <c r="X87" s="440"/>
    </row>
    <row r="88" spans="2:24" ht="16" x14ac:dyDescent="0.2">
      <c r="B88" s="489" t="s">
        <v>536</v>
      </c>
      <c r="C88" s="441">
        <v>47848</v>
      </c>
      <c r="D88" s="482">
        <v>47484</v>
      </c>
      <c r="E88" s="482">
        <v>47484</v>
      </c>
      <c r="F88" s="482">
        <v>47484</v>
      </c>
      <c r="G88" s="482">
        <v>47484</v>
      </c>
      <c r="H88" s="482">
        <v>47484</v>
      </c>
      <c r="I88" s="482">
        <v>47484</v>
      </c>
      <c r="J88" s="482">
        <v>47484</v>
      </c>
      <c r="K88" s="482">
        <v>47484</v>
      </c>
      <c r="L88" s="482">
        <v>47484</v>
      </c>
      <c r="M88" s="482">
        <v>47484</v>
      </c>
      <c r="N88" s="482">
        <v>47484</v>
      </c>
      <c r="O88" s="482">
        <v>47484</v>
      </c>
      <c r="P88" s="482">
        <v>47484</v>
      </c>
      <c r="Q88" s="482">
        <v>47484</v>
      </c>
      <c r="R88" s="482">
        <v>47484</v>
      </c>
      <c r="S88" s="482">
        <v>47484</v>
      </c>
      <c r="T88" s="482">
        <v>47484</v>
      </c>
      <c r="U88" s="482">
        <v>47484</v>
      </c>
      <c r="V88" s="482">
        <v>47484</v>
      </c>
      <c r="W88" s="482">
        <v>47484</v>
      </c>
      <c r="X88" s="440">
        <v>47848</v>
      </c>
    </row>
    <row r="89" spans="2:24" ht="17" thickBot="1" x14ac:dyDescent="0.25">
      <c r="B89" s="490" t="s">
        <v>551</v>
      </c>
      <c r="C89" s="491">
        <v>47848</v>
      </c>
      <c r="D89" s="492">
        <v>47484</v>
      </c>
      <c r="E89" s="492">
        <v>47484</v>
      </c>
      <c r="F89" s="492">
        <v>47484</v>
      </c>
      <c r="G89" s="492">
        <v>47484</v>
      </c>
      <c r="H89" s="492">
        <v>47484</v>
      </c>
      <c r="I89" s="492">
        <v>47484</v>
      </c>
      <c r="J89" s="492">
        <v>47484</v>
      </c>
      <c r="K89" s="492">
        <v>47484</v>
      </c>
      <c r="L89" s="492">
        <v>47484</v>
      </c>
      <c r="M89" s="492">
        <v>47484</v>
      </c>
      <c r="N89" s="492">
        <v>47484</v>
      </c>
      <c r="O89" s="492">
        <v>47484</v>
      </c>
      <c r="P89" s="492">
        <v>47484</v>
      </c>
      <c r="Q89" s="492">
        <v>47484</v>
      </c>
      <c r="R89" s="492">
        <v>47484</v>
      </c>
      <c r="S89" s="492">
        <v>47484</v>
      </c>
      <c r="T89" s="492">
        <v>47484</v>
      </c>
      <c r="U89" s="492">
        <v>47484</v>
      </c>
      <c r="V89" s="492">
        <v>47484</v>
      </c>
      <c r="W89" s="492">
        <v>47484</v>
      </c>
      <c r="X89" s="493">
        <v>47848</v>
      </c>
    </row>
  </sheetData>
  <sheetProtection sheet="1" objects="1" scenarios="1"/>
  <phoneticPr fontId="7" type="noConversion"/>
  <conditionalFormatting sqref="D3:X3 C3:C8 D4:W8 C9:W89 D5:J11 D5:D16">
    <cfRule type="cellIs" dxfId="64" priority="1" operator="equal">
      <formula>47484</formula>
    </cfRule>
  </conditionalFormatting>
  <conditionalFormatting sqref="C3:X89">
    <cfRule type="expression" dxfId="63" priority="2">
      <formula>MOD(YEAR(C3),2)=0</formula>
    </cfRule>
  </conditionalFormatting>
  <pageMargins left="0.75" right="0.75" top="1" bottom="1" header="0.5" footer="0.5"/>
  <pageSetup paperSize="9"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pageSetUpPr autoPageBreaks="0"/>
  </sheetPr>
  <dimension ref="B2:AH1009"/>
  <sheetViews>
    <sheetView topLeftCell="R7" workbookViewId="0">
      <selection activeCell="W22" sqref="W22"/>
    </sheetView>
  </sheetViews>
  <sheetFormatPr baseColWidth="10" defaultColWidth="10.83203125" defaultRowHeight="16" x14ac:dyDescent="0.2"/>
  <cols>
    <col min="1" max="1" width="3.5" style="5" customWidth="1"/>
    <col min="2" max="2" width="19.1640625" style="4" bestFit="1" customWidth="1"/>
    <col min="3" max="3" width="12.6640625" style="5" customWidth="1"/>
    <col min="4" max="4" width="9" style="5" bestFit="1" customWidth="1"/>
    <col min="5" max="5" width="18.5" style="5" bestFit="1" customWidth="1"/>
    <col min="6" max="6" width="2.5" style="5" bestFit="1" customWidth="1"/>
    <col min="7" max="7" width="5.83203125" style="5" bestFit="1" customWidth="1"/>
    <col min="8" max="8" width="5.5" style="5" bestFit="1" customWidth="1"/>
    <col min="9" max="9" width="11.1640625" style="5" bestFit="1" customWidth="1"/>
    <col min="10" max="10" width="5.1640625" style="166" bestFit="1" customWidth="1"/>
    <col min="11" max="11" width="4.6640625" style="5" customWidth="1"/>
    <col min="12" max="12" width="8.33203125" style="5" bestFit="1" customWidth="1"/>
    <col min="13" max="14" width="3.5" style="5" bestFit="1" customWidth="1"/>
    <col min="15" max="15" width="36.33203125" style="5" bestFit="1" customWidth="1"/>
    <col min="16" max="16" width="38.6640625" style="5" bestFit="1" customWidth="1"/>
    <col min="17" max="17" width="3.33203125" style="5" customWidth="1"/>
    <col min="18" max="18" width="14" style="5" customWidth="1"/>
    <col min="19" max="19" width="15" style="5" customWidth="1"/>
    <col min="20" max="20" width="14.1640625" style="5" bestFit="1" customWidth="1"/>
    <col min="21" max="26" width="10.83203125" style="5"/>
    <col min="27" max="27" width="11.1640625" style="5" bestFit="1" customWidth="1"/>
    <col min="28" max="32" width="10.83203125" style="5"/>
    <col min="33" max="33" width="12.5" style="5" bestFit="1" customWidth="1"/>
    <col min="34" max="16384" width="10.83203125" style="5"/>
  </cols>
  <sheetData>
    <row r="2" spans="2:34" ht="17" thickBot="1" x14ac:dyDescent="0.25">
      <c r="G2" s="423"/>
      <c r="L2" s="561" t="s">
        <v>531</v>
      </c>
      <c r="M2" s="562"/>
      <c r="N2" s="562"/>
      <c r="O2" s="562"/>
      <c r="P2" s="563"/>
      <c r="R2" s="561" t="s">
        <v>530</v>
      </c>
      <c r="S2" s="562"/>
      <c r="T2" s="562"/>
      <c r="U2" s="562"/>
      <c r="V2" s="562"/>
      <c r="W2" s="562"/>
      <c r="X2" s="562"/>
      <c r="Y2" s="562"/>
      <c r="Z2" s="562"/>
      <c r="AA2" s="562"/>
      <c r="AB2" s="562"/>
      <c r="AC2" s="562"/>
      <c r="AD2" s="562"/>
      <c r="AE2" s="562"/>
      <c r="AF2" s="562"/>
      <c r="AG2" s="562"/>
      <c r="AH2" s="563"/>
    </row>
    <row r="3" spans="2:34" ht="18" thickBot="1" x14ac:dyDescent="0.25">
      <c r="B3" s="6" t="s">
        <v>36</v>
      </c>
      <c r="C3" s="7">
        <f>Ref_Annee</f>
        <v>2021</v>
      </c>
      <c r="D3" s="7">
        <f>Ref_Mois</f>
        <v>1</v>
      </c>
      <c r="L3" s="570" t="s">
        <v>54</v>
      </c>
      <c r="M3" s="571"/>
      <c r="N3" s="571"/>
      <c r="O3" s="571"/>
      <c r="P3" s="208" t="b">
        <v>1</v>
      </c>
      <c r="R3" s="387" t="str">
        <f>Scolaire!B68</f>
        <v>Zone A</v>
      </c>
      <c r="S3" s="387" t="str">
        <f>Scolaire!B70</f>
        <v>Zone B</v>
      </c>
      <c r="T3" s="387" t="str">
        <f>Scolaire!B72</f>
        <v>Zone C</v>
      </c>
      <c r="U3" s="388" t="s">
        <v>521</v>
      </c>
      <c r="V3" s="388" t="s">
        <v>517</v>
      </c>
      <c r="W3" s="389" t="s">
        <v>518</v>
      </c>
      <c r="X3" s="389" t="s">
        <v>519</v>
      </c>
      <c r="Y3" s="389" t="s">
        <v>526</v>
      </c>
      <c r="Z3" s="395" t="s">
        <v>523</v>
      </c>
      <c r="AA3" s="389" t="s">
        <v>524</v>
      </c>
      <c r="AB3" s="389" t="s">
        <v>522</v>
      </c>
      <c r="AC3" s="389" t="s">
        <v>527</v>
      </c>
      <c r="AD3" s="389" t="s">
        <v>534</v>
      </c>
      <c r="AE3" s="389" t="s">
        <v>529</v>
      </c>
      <c r="AF3" s="389" t="s">
        <v>525</v>
      </c>
      <c r="AG3" s="389" t="s">
        <v>552</v>
      </c>
      <c r="AH3" s="390" t="s">
        <v>528</v>
      </c>
    </row>
    <row r="4" spans="2:34" ht="17" thickBot="1" x14ac:dyDescent="0.25">
      <c r="I4" s="561" t="s">
        <v>532</v>
      </c>
      <c r="J4" s="563"/>
      <c r="L4" s="502">
        <f>DATE(,N4,M4)</f>
        <v>1</v>
      </c>
      <c r="M4" s="210">
        <v>1</v>
      </c>
      <c r="N4" s="210">
        <v>1</v>
      </c>
      <c r="O4" s="210" t="s">
        <v>55</v>
      </c>
      <c r="P4" s="210" t="str">
        <f>IF(Introduction!$E$7=1,CONCATENATE("🍻 ",O4),IF(Introduction!$E$7=2,CONCATENATE("Fêtons ",O4),CONCATENATE("✓ ",O4)))</f>
        <v>🍻 Marion</v>
      </c>
      <c r="R4" s="381">
        <f t="shared" ref="R4:T23" si="0">INDEX($U4:$AH4,1,MATCH(R$3,$U$3:$AH$3,0))</f>
        <v>43653</v>
      </c>
      <c r="S4" s="381">
        <f t="shared" si="0"/>
        <v>43653</v>
      </c>
      <c r="T4" s="381">
        <f t="shared" si="0"/>
        <v>43653</v>
      </c>
      <c r="U4" s="382">
        <v>32509</v>
      </c>
      <c r="V4" s="383">
        <v>43653</v>
      </c>
      <c r="W4" s="383">
        <v>43653</v>
      </c>
      <c r="X4" s="383">
        <v>43653</v>
      </c>
      <c r="Y4" s="383">
        <v>47484</v>
      </c>
      <c r="Z4" s="383">
        <v>47484</v>
      </c>
      <c r="AA4" s="383">
        <v>47484</v>
      </c>
      <c r="AB4" s="383">
        <v>47484</v>
      </c>
      <c r="AC4" s="383">
        <v>47484</v>
      </c>
      <c r="AD4" s="383">
        <v>47484</v>
      </c>
      <c r="AE4" s="383">
        <v>47484</v>
      </c>
      <c r="AF4" s="383">
        <v>47484</v>
      </c>
      <c r="AG4" s="383">
        <v>47484</v>
      </c>
      <c r="AH4" s="382">
        <v>32509</v>
      </c>
    </row>
    <row r="5" spans="2:34" ht="17" thickBot="1" x14ac:dyDescent="0.25">
      <c r="B5" s="572" t="s">
        <v>533</v>
      </c>
      <c r="C5" s="573"/>
      <c r="D5" s="573"/>
      <c r="E5" s="573"/>
      <c r="F5" s="574"/>
      <c r="G5" s="166" t="s">
        <v>14</v>
      </c>
      <c r="H5" s="5" t="s">
        <v>39</v>
      </c>
      <c r="I5" s="421" t="s">
        <v>28</v>
      </c>
      <c r="J5" s="421" t="s">
        <v>25</v>
      </c>
      <c r="L5" s="502">
        <f t="shared" ref="L5:L68" si="1">DATE(,N5,M5)</f>
        <v>2</v>
      </c>
      <c r="M5" s="210">
        <v>2</v>
      </c>
      <c r="N5" s="210">
        <v>1</v>
      </c>
      <c r="O5" s="210" t="s">
        <v>56</v>
      </c>
      <c r="P5" s="210" t="str">
        <f>IF(Introduction!$E$7=1,CONCATENATE("🍻 ",O5),IF(Introduction!$E$7=2,CONCATENATE("Fêtons ",O5),CONCATENATE("✓ ",O5)))</f>
        <v>🍻 Basile, Grégoire</v>
      </c>
      <c r="R5" s="381">
        <f t="shared" si="0"/>
        <v>43710</v>
      </c>
      <c r="S5" s="381">
        <f t="shared" si="0"/>
        <v>43710</v>
      </c>
      <c r="T5" s="381">
        <f t="shared" si="0"/>
        <v>43710</v>
      </c>
      <c r="U5" s="382"/>
      <c r="V5" s="383">
        <v>43710</v>
      </c>
      <c r="W5" s="383">
        <v>43710</v>
      </c>
      <c r="X5" s="383">
        <v>43710</v>
      </c>
      <c r="Y5" s="383">
        <v>47484</v>
      </c>
      <c r="Z5" s="383">
        <v>47484</v>
      </c>
      <c r="AA5" s="383">
        <v>47484</v>
      </c>
      <c r="AB5" s="383">
        <v>47484</v>
      </c>
      <c r="AC5" s="383">
        <v>47484</v>
      </c>
      <c r="AD5" s="383">
        <v>47484</v>
      </c>
      <c r="AE5" s="383">
        <v>47484</v>
      </c>
      <c r="AF5" s="383">
        <v>47484</v>
      </c>
      <c r="AG5" s="383">
        <v>47484</v>
      </c>
      <c r="AH5" s="383"/>
    </row>
    <row r="6" spans="2:34" x14ac:dyDescent="0.2">
      <c r="B6" s="391" t="s">
        <v>0</v>
      </c>
      <c r="C6" s="392">
        <f>D6</f>
        <v>44197</v>
      </c>
      <c r="D6" s="169">
        <f>DATE(Ref_Annee,1,1)</f>
        <v>44197</v>
      </c>
      <c r="E6" s="393" t="s">
        <v>22</v>
      </c>
      <c r="F6" s="394" t="str">
        <f t="shared" ref="F6:F20" si="2">IF(C6="","","F")</f>
        <v>F</v>
      </c>
      <c r="G6" s="166">
        <v>2000</v>
      </c>
      <c r="H6" s="59">
        <v>1</v>
      </c>
      <c r="I6" s="209">
        <v>40909</v>
      </c>
      <c r="J6" s="418" t="str">
        <f>IF(Introduction!$E$7=1,"🌓",IF(Introduction!$E$7=2,"P","☽"))</f>
        <v>🌓</v>
      </c>
      <c r="L6" s="502">
        <f t="shared" si="1"/>
        <v>3</v>
      </c>
      <c r="M6" s="210">
        <v>3</v>
      </c>
      <c r="N6" s="210">
        <v>1</v>
      </c>
      <c r="O6" s="210" t="s">
        <v>57</v>
      </c>
      <c r="P6" s="210" t="str">
        <f>IF(Introduction!$E$7=1,CONCATENATE("🍻 ",O6),IF(Introduction!$E$7=2,CONCATENATE("Fêtons ",O6),CONCATENATE("✓ ",O6)))</f>
        <v>🍻 Geneviève, Ginette</v>
      </c>
      <c r="R6" s="381">
        <f t="shared" si="0"/>
        <v>43758</v>
      </c>
      <c r="S6" s="381">
        <f t="shared" si="0"/>
        <v>43758</v>
      </c>
      <c r="T6" s="381">
        <f t="shared" si="0"/>
        <v>43758</v>
      </c>
      <c r="U6" s="383"/>
      <c r="V6" s="383">
        <v>43758</v>
      </c>
      <c r="W6" s="383">
        <v>43758</v>
      </c>
      <c r="X6" s="383">
        <v>43758</v>
      </c>
      <c r="Y6" s="383">
        <v>47484</v>
      </c>
      <c r="Z6" s="383">
        <v>47484</v>
      </c>
      <c r="AA6" s="383">
        <v>47484</v>
      </c>
      <c r="AB6" s="383">
        <v>47484</v>
      </c>
      <c r="AC6" s="383">
        <v>47484</v>
      </c>
      <c r="AD6" s="383">
        <v>47484</v>
      </c>
      <c r="AE6" s="383">
        <v>47484</v>
      </c>
      <c r="AF6" s="383">
        <v>47484</v>
      </c>
      <c r="AG6" s="383">
        <v>47484</v>
      </c>
      <c r="AH6" s="383"/>
    </row>
    <row r="7" spans="2:34" x14ac:dyDescent="0.2">
      <c r="B7" s="9"/>
      <c r="C7" s="10">
        <f>IF(Pâques=H_Ete,"",Pâques)</f>
        <v>44290</v>
      </c>
      <c r="D7" s="11">
        <f>DATE(Ref_Annee,3,29.56+0.979*MOD(204-11*MOD(Ref_Annee,19),30)-WEEKDAY(DATE(Ref_Annee,3,28.56+0.979*MOD(204-11*MOD(Ref_Annee,19),30))))</f>
        <v>44290</v>
      </c>
      <c r="E7" s="12" t="s">
        <v>9</v>
      </c>
      <c r="F7" s="62" t="str">
        <f t="shared" si="2"/>
        <v>F</v>
      </c>
      <c r="G7" s="166">
        <v>2001</v>
      </c>
      <c r="H7" s="59">
        <v>2</v>
      </c>
      <c r="I7" s="209">
        <v>40917</v>
      </c>
      <c r="J7" s="418" t="str">
        <f>IF(Introduction!$E$7=1,"🌕",IF(Introduction!$E$7=2,"O","⚇"))</f>
        <v>🌕</v>
      </c>
      <c r="L7" s="502">
        <f t="shared" si="1"/>
        <v>4</v>
      </c>
      <c r="M7" s="210">
        <v>4</v>
      </c>
      <c r="N7" s="210">
        <v>1</v>
      </c>
      <c r="O7" s="210" t="s">
        <v>58</v>
      </c>
      <c r="P7" s="210" t="str">
        <f>IF(Introduction!$E$7=1,CONCATENATE("🍻 ",O7),IF(Introduction!$E$7=2,CONCATENATE("Fêtons ",O7),CONCATENATE("✓ ",O7)))</f>
        <v>🍻 Odilon</v>
      </c>
      <c r="R7" s="381">
        <f t="shared" si="0"/>
        <v>43773</v>
      </c>
      <c r="S7" s="381">
        <f t="shared" si="0"/>
        <v>43773</v>
      </c>
      <c r="T7" s="381">
        <f t="shared" si="0"/>
        <v>43773</v>
      </c>
      <c r="U7" s="383"/>
      <c r="V7" s="383">
        <v>43773</v>
      </c>
      <c r="W7" s="383">
        <v>43773</v>
      </c>
      <c r="X7" s="383">
        <v>43773</v>
      </c>
      <c r="Y7" s="383">
        <v>47484</v>
      </c>
      <c r="Z7" s="383">
        <v>47484</v>
      </c>
      <c r="AA7" s="383">
        <v>47484</v>
      </c>
      <c r="AB7" s="383">
        <v>47484</v>
      </c>
      <c r="AC7" s="383">
        <v>47484</v>
      </c>
      <c r="AD7" s="383">
        <v>47484</v>
      </c>
      <c r="AE7" s="383">
        <v>47484</v>
      </c>
      <c r="AF7" s="383">
        <v>47484</v>
      </c>
      <c r="AG7" s="383">
        <v>47484</v>
      </c>
      <c r="AH7" s="383"/>
    </row>
    <row r="8" spans="2:34" x14ac:dyDescent="0.2">
      <c r="B8" s="9"/>
      <c r="C8" s="10">
        <f t="shared" ref="C8:C18" si="3">D8</f>
        <v>44291</v>
      </c>
      <c r="D8" s="11">
        <f>Pâques+1</f>
        <v>44291</v>
      </c>
      <c r="E8" s="12" t="s">
        <v>32</v>
      </c>
      <c r="F8" s="62" t="str">
        <f t="shared" si="2"/>
        <v>F</v>
      </c>
      <c r="G8" s="166">
        <v>2002</v>
      </c>
      <c r="H8" s="59">
        <v>3</v>
      </c>
      <c r="I8" s="209">
        <v>40924</v>
      </c>
      <c r="J8" s="418" t="str">
        <f>IF(Introduction!$E$7=1,"🌗",IF(Introduction!$E$7=2,"D","☾"))</f>
        <v>🌗</v>
      </c>
      <c r="L8" s="502">
        <f t="shared" si="1"/>
        <v>5</v>
      </c>
      <c r="M8" s="210">
        <v>5</v>
      </c>
      <c r="N8" s="210">
        <v>1</v>
      </c>
      <c r="O8" s="210" t="s">
        <v>59</v>
      </c>
      <c r="P8" s="210" t="str">
        <f>IF(Introduction!$E$7=1,CONCATENATE("🍻 ",O8),IF(Introduction!$E$7=2,CONCATENATE("Fêtons ",O8),CONCATENATE("✓ ",O8)))</f>
        <v>🍻 Édouard, Siméon</v>
      </c>
      <c r="R8" s="381">
        <f t="shared" si="0"/>
        <v>43821</v>
      </c>
      <c r="S8" s="381">
        <f t="shared" si="0"/>
        <v>43821</v>
      </c>
      <c r="T8" s="381">
        <f t="shared" si="0"/>
        <v>43821</v>
      </c>
      <c r="U8" s="383"/>
      <c r="V8" s="383">
        <v>43821</v>
      </c>
      <c r="W8" s="383">
        <v>43821</v>
      </c>
      <c r="X8" s="383">
        <v>43821</v>
      </c>
      <c r="Y8" s="383">
        <v>47484</v>
      </c>
      <c r="Z8" s="383">
        <v>47484</v>
      </c>
      <c r="AA8" s="383">
        <v>47484</v>
      </c>
      <c r="AB8" s="383">
        <v>47484</v>
      </c>
      <c r="AC8" s="383">
        <v>47484</v>
      </c>
      <c r="AD8" s="383">
        <v>47484</v>
      </c>
      <c r="AE8" s="383">
        <v>47484</v>
      </c>
      <c r="AF8" s="383">
        <v>47484</v>
      </c>
      <c r="AG8" s="383">
        <v>47484</v>
      </c>
      <c r="AH8" s="383"/>
    </row>
    <row r="9" spans="2:34" x14ac:dyDescent="0.2">
      <c r="B9" s="9"/>
      <c r="C9" s="10">
        <f>IF(Ascension_1=Fete_Trav_1,"",Fete_Trav_1)</f>
        <v>44317</v>
      </c>
      <c r="D9" s="11">
        <f>DATE(Ref_Annee,5,1)</f>
        <v>44317</v>
      </c>
      <c r="E9" s="12" t="s">
        <v>1</v>
      </c>
      <c r="F9" s="62" t="str">
        <f t="shared" si="2"/>
        <v>F</v>
      </c>
      <c r="G9" s="166">
        <v>2003</v>
      </c>
      <c r="H9" s="59">
        <v>4</v>
      </c>
      <c r="I9" s="209">
        <v>40931</v>
      </c>
      <c r="J9" s="418" t="str">
        <f>IF(Introduction!$E$7=1,"🌑",IF(Introduction!$E$7=2,"N","⚉"))</f>
        <v>🌑</v>
      </c>
      <c r="L9" s="502">
        <f t="shared" si="1"/>
        <v>6</v>
      </c>
      <c r="M9" s="210">
        <v>6</v>
      </c>
      <c r="N9" s="210">
        <v>1</v>
      </c>
      <c r="O9" s="210" t="s">
        <v>60</v>
      </c>
      <c r="P9" s="210" t="str">
        <f>IF(Introduction!$E$7=1,CONCATENATE("🍻 ",O9),IF(Introduction!$E$7=2,CONCATENATE("Fêtons ",O9),CONCATENATE("✓ ",O9)))</f>
        <v>🍻 Balthazar, Mélaine, Melchior</v>
      </c>
      <c r="R9" s="381">
        <f t="shared" si="0"/>
        <v>43836</v>
      </c>
      <c r="S9" s="381">
        <f t="shared" si="0"/>
        <v>43836</v>
      </c>
      <c r="T9" s="381">
        <f t="shared" si="0"/>
        <v>43836</v>
      </c>
      <c r="U9" s="383"/>
      <c r="V9" s="383">
        <v>43836</v>
      </c>
      <c r="W9" s="383">
        <v>43836</v>
      </c>
      <c r="X9" s="383">
        <v>43836</v>
      </c>
      <c r="Y9" s="383">
        <v>47484</v>
      </c>
      <c r="Z9" s="383">
        <v>47484</v>
      </c>
      <c r="AA9" s="383">
        <v>47484</v>
      </c>
      <c r="AB9" s="383">
        <v>47484</v>
      </c>
      <c r="AC9" s="383">
        <v>47484</v>
      </c>
      <c r="AD9" s="383">
        <v>47484</v>
      </c>
      <c r="AE9" s="383">
        <v>47484</v>
      </c>
      <c r="AF9" s="383">
        <v>47484</v>
      </c>
      <c r="AG9" s="383">
        <v>47484</v>
      </c>
      <c r="AH9" s="383"/>
    </row>
    <row r="10" spans="2:34" x14ac:dyDescent="0.2">
      <c r="B10" s="9"/>
      <c r="C10" s="10">
        <f>IF(Ascension_1=Fete_Trav_1,"",Ascension_1)</f>
        <v>44329</v>
      </c>
      <c r="D10" s="11">
        <f>Pâques+39</f>
        <v>44329</v>
      </c>
      <c r="E10" s="12" t="s">
        <v>5</v>
      </c>
      <c r="F10" s="62" t="str">
        <f t="shared" si="2"/>
        <v>F</v>
      </c>
      <c r="G10" s="166">
        <v>2004</v>
      </c>
      <c r="H10" s="59">
        <v>5</v>
      </c>
      <c r="I10" s="209">
        <v>40939</v>
      </c>
      <c r="J10" s="418" t="str">
        <f>IF(Introduction!$E$7=1,"🌓",IF(Introduction!$E$7=2,"P","☽"))</f>
        <v>🌓</v>
      </c>
      <c r="L10" s="502">
        <f t="shared" si="1"/>
        <v>7</v>
      </c>
      <c r="M10" s="210">
        <v>7</v>
      </c>
      <c r="N10" s="210">
        <v>1</v>
      </c>
      <c r="O10" s="210" t="s">
        <v>61</v>
      </c>
      <c r="P10" s="210" t="str">
        <f>IF(Introduction!$E$7=1,CONCATENATE("🍻 ",O10),IF(Introduction!$E$7=2,CONCATENATE("Fêtons ",O10),CONCATENATE("✓ ",O10)))</f>
        <v>🍻 Cédric, Raymond, Virginie</v>
      </c>
      <c r="R10" s="381">
        <f t="shared" si="0"/>
        <v>43884</v>
      </c>
      <c r="S10" s="381">
        <f t="shared" si="0"/>
        <v>43877</v>
      </c>
      <c r="T10" s="381">
        <f t="shared" si="0"/>
        <v>43870</v>
      </c>
      <c r="U10" s="383"/>
      <c r="V10" s="383">
        <v>43884</v>
      </c>
      <c r="W10" s="383">
        <v>43877</v>
      </c>
      <c r="X10" s="383">
        <v>43870</v>
      </c>
      <c r="Y10" s="383">
        <v>47484</v>
      </c>
      <c r="Z10" s="383">
        <v>47484</v>
      </c>
      <c r="AA10" s="383">
        <v>47484</v>
      </c>
      <c r="AB10" s="383">
        <v>47484</v>
      </c>
      <c r="AC10" s="383">
        <v>47484</v>
      </c>
      <c r="AD10" s="383">
        <v>47484</v>
      </c>
      <c r="AE10" s="383">
        <v>47484</v>
      </c>
      <c r="AF10" s="383">
        <v>47484</v>
      </c>
      <c r="AG10" s="383">
        <v>47484</v>
      </c>
      <c r="AH10" s="383"/>
    </row>
    <row r="11" spans="2:34" x14ac:dyDescent="0.2">
      <c r="B11" s="9"/>
      <c r="C11" s="10">
        <f>Vict_45_1</f>
        <v>44324</v>
      </c>
      <c r="D11" s="11">
        <f>DATE(Ref_Annee,5,8)</f>
        <v>44324</v>
      </c>
      <c r="E11" s="12" t="s">
        <v>13</v>
      </c>
      <c r="F11" s="62" t="str">
        <f t="shared" si="2"/>
        <v>F</v>
      </c>
      <c r="G11" s="166">
        <v>2005</v>
      </c>
      <c r="H11" s="59">
        <v>6</v>
      </c>
      <c r="I11" s="209">
        <v>40946</v>
      </c>
      <c r="J11" s="418" t="str">
        <f>IF(Introduction!$E$7=1,"🌕",IF(Introduction!$E$7=2,"O","⚇"))</f>
        <v>🌕</v>
      </c>
      <c r="L11" s="502">
        <f t="shared" si="1"/>
        <v>8</v>
      </c>
      <c r="M11" s="210">
        <v>8</v>
      </c>
      <c r="N11" s="210">
        <v>1</v>
      </c>
      <c r="O11" s="210" t="s">
        <v>62</v>
      </c>
      <c r="P11" s="210" t="str">
        <f>IF(Introduction!$E$7=1,CONCATENATE("🍻 ",O11),IF(Introduction!$E$7=2,CONCATENATE("Fêtons ",O11),CONCATENATE("✓ ",O11)))</f>
        <v>🍻 Lucien</v>
      </c>
      <c r="R11" s="381">
        <f t="shared" si="0"/>
        <v>43899</v>
      </c>
      <c r="S11" s="381">
        <f t="shared" si="0"/>
        <v>43892</v>
      </c>
      <c r="T11" s="381">
        <f t="shared" si="0"/>
        <v>43885</v>
      </c>
      <c r="U11" s="383"/>
      <c r="V11" s="383">
        <v>43899</v>
      </c>
      <c r="W11" s="383">
        <v>43892</v>
      </c>
      <c r="X11" s="383">
        <v>43885</v>
      </c>
      <c r="Y11" s="383">
        <v>47484</v>
      </c>
      <c r="Z11" s="383">
        <v>47484</v>
      </c>
      <c r="AA11" s="383">
        <v>47484</v>
      </c>
      <c r="AB11" s="383">
        <v>47484</v>
      </c>
      <c r="AC11" s="383">
        <v>47484</v>
      </c>
      <c r="AD11" s="383">
        <v>47484</v>
      </c>
      <c r="AE11" s="383">
        <v>47484</v>
      </c>
      <c r="AF11" s="383">
        <v>47484</v>
      </c>
      <c r="AG11" s="383">
        <v>47484</v>
      </c>
      <c r="AH11" s="383"/>
    </row>
    <row r="12" spans="2:34" x14ac:dyDescent="0.2">
      <c r="B12" s="9"/>
      <c r="C12" s="10">
        <f t="shared" si="3"/>
        <v>44339</v>
      </c>
      <c r="D12" s="11">
        <f>Pâques+49</f>
        <v>44339</v>
      </c>
      <c r="E12" s="12" t="s">
        <v>6</v>
      </c>
      <c r="F12" s="62" t="str">
        <f t="shared" si="2"/>
        <v>F</v>
      </c>
      <c r="G12" s="166">
        <v>2006</v>
      </c>
      <c r="H12" s="59">
        <v>7</v>
      </c>
      <c r="I12" s="209">
        <v>40953</v>
      </c>
      <c r="J12" s="418" t="str">
        <f>IF(Introduction!$E$7=1,"🌗",IF(Introduction!$E$7=2,"D","☾"))</f>
        <v>🌗</v>
      </c>
      <c r="L12" s="502">
        <f t="shared" si="1"/>
        <v>9</v>
      </c>
      <c r="M12" s="210">
        <v>9</v>
      </c>
      <c r="N12" s="210">
        <v>1</v>
      </c>
      <c r="O12" s="210" t="s">
        <v>63</v>
      </c>
      <c r="P12" s="210" t="str">
        <f>IF(Introduction!$E$7=1,CONCATENATE("🍻 ",O12),IF(Introduction!$E$7=2,CONCATENATE("Fêtons ",O12),CONCATENATE("✓ ",O12)))</f>
        <v>🍻 Adrien, Alice, Alix</v>
      </c>
      <c r="R12" s="381">
        <f t="shared" si="0"/>
        <v>43940</v>
      </c>
      <c r="S12" s="381">
        <f t="shared" si="0"/>
        <v>43933</v>
      </c>
      <c r="T12" s="381">
        <f t="shared" si="0"/>
        <v>43926</v>
      </c>
      <c r="U12" s="383"/>
      <c r="V12" s="383">
        <v>43940</v>
      </c>
      <c r="W12" s="383">
        <v>43933</v>
      </c>
      <c r="X12" s="383">
        <v>43926</v>
      </c>
      <c r="Y12" s="383">
        <v>47484</v>
      </c>
      <c r="Z12" s="383">
        <v>47484</v>
      </c>
      <c r="AA12" s="383">
        <v>47484</v>
      </c>
      <c r="AB12" s="383">
        <v>47484</v>
      </c>
      <c r="AC12" s="383">
        <v>47484</v>
      </c>
      <c r="AD12" s="383">
        <v>47484</v>
      </c>
      <c r="AE12" s="383">
        <v>47484</v>
      </c>
      <c r="AF12" s="383">
        <v>47484</v>
      </c>
      <c r="AG12" s="383">
        <v>47484</v>
      </c>
      <c r="AH12" s="383"/>
    </row>
    <row r="13" spans="2:34" x14ac:dyDescent="0.2">
      <c r="B13" s="9"/>
      <c r="C13" s="10">
        <f t="shared" si="3"/>
        <v>44340</v>
      </c>
      <c r="D13" s="11">
        <f>Pentecote+1</f>
        <v>44340</v>
      </c>
      <c r="E13" s="12" t="s">
        <v>29</v>
      </c>
      <c r="F13" s="62" t="str">
        <f t="shared" si="2"/>
        <v>F</v>
      </c>
      <c r="G13" s="166">
        <v>2007</v>
      </c>
      <c r="H13" s="59">
        <v>8</v>
      </c>
      <c r="I13" s="209">
        <v>40960</v>
      </c>
      <c r="J13" s="418" t="str">
        <f>IF(Introduction!$E$7=1,"🌑",IF(Introduction!$E$7=2,"N","⚉"))</f>
        <v>🌑</v>
      </c>
      <c r="L13" s="502">
        <f t="shared" si="1"/>
        <v>10</v>
      </c>
      <c r="M13" s="210">
        <v>10</v>
      </c>
      <c r="N13" s="210">
        <v>1</v>
      </c>
      <c r="O13" s="210" t="s">
        <v>64</v>
      </c>
      <c r="P13" s="210" t="str">
        <f>IF(Introduction!$E$7=1,CONCATENATE("🍻 ",O13),IF(Introduction!$E$7=2,CONCATENATE("Fêtons ",O13),CONCATENATE("✓ ",O13)))</f>
        <v>🍻 Guillaume</v>
      </c>
      <c r="R13" s="381">
        <f t="shared" si="0"/>
        <v>43955</v>
      </c>
      <c r="S13" s="381">
        <f t="shared" si="0"/>
        <v>43948</v>
      </c>
      <c r="T13" s="381">
        <f t="shared" si="0"/>
        <v>43941</v>
      </c>
      <c r="U13" s="383"/>
      <c r="V13" s="383">
        <v>43955</v>
      </c>
      <c r="W13" s="383">
        <v>43948</v>
      </c>
      <c r="X13" s="383">
        <v>43941</v>
      </c>
      <c r="Y13" s="383">
        <v>47484</v>
      </c>
      <c r="Z13" s="383">
        <v>47484</v>
      </c>
      <c r="AA13" s="383">
        <v>47484</v>
      </c>
      <c r="AB13" s="383">
        <v>47484</v>
      </c>
      <c r="AC13" s="383">
        <v>47484</v>
      </c>
      <c r="AD13" s="383">
        <v>47484</v>
      </c>
      <c r="AE13" s="383">
        <v>47484</v>
      </c>
      <c r="AF13" s="383">
        <v>47484</v>
      </c>
      <c r="AG13" s="383">
        <v>47484</v>
      </c>
      <c r="AH13" s="383"/>
    </row>
    <row r="14" spans="2:34" x14ac:dyDescent="0.2">
      <c r="B14" s="9"/>
      <c r="C14" s="10">
        <f t="shared" si="3"/>
        <v>44391</v>
      </c>
      <c r="D14" s="11">
        <f>DATE(Ref_Annee,7,14)</f>
        <v>44391</v>
      </c>
      <c r="E14" s="12" t="s">
        <v>11</v>
      </c>
      <c r="F14" s="62" t="str">
        <f t="shared" si="2"/>
        <v>F</v>
      </c>
      <c r="G14" s="166">
        <v>2008</v>
      </c>
      <c r="H14" s="59">
        <v>9</v>
      </c>
      <c r="I14" s="209">
        <v>40969</v>
      </c>
      <c r="J14" s="418" t="str">
        <f>IF(Introduction!$E$7=1,"🌓",IF(Introduction!$E$7=2,"P","☽"))</f>
        <v>🌓</v>
      </c>
      <c r="L14" s="502">
        <f t="shared" si="1"/>
        <v>11</v>
      </c>
      <c r="M14" s="210">
        <v>11</v>
      </c>
      <c r="N14" s="210">
        <v>1</v>
      </c>
      <c r="O14" s="210" t="s">
        <v>65</v>
      </c>
      <c r="P14" s="210" t="str">
        <f>IF(Introduction!$E$7=1,CONCATENATE("🍻 ",O14),IF(Introduction!$E$7=2,CONCATENATE("Fêtons ",O14),CONCATENATE("✓ ",O14)))</f>
        <v>🍻 Hortense, Paulin(e)</v>
      </c>
      <c r="R14" s="381">
        <f t="shared" si="0"/>
        <v>44017</v>
      </c>
      <c r="S14" s="381">
        <f t="shared" si="0"/>
        <v>44017</v>
      </c>
      <c r="T14" s="381">
        <f t="shared" si="0"/>
        <v>44017</v>
      </c>
      <c r="U14" s="383"/>
      <c r="V14" s="383">
        <v>44017</v>
      </c>
      <c r="W14" s="383">
        <v>44017</v>
      </c>
      <c r="X14" s="383">
        <v>44017</v>
      </c>
      <c r="Y14" s="383">
        <v>47484</v>
      </c>
      <c r="Z14" s="383">
        <v>47484</v>
      </c>
      <c r="AA14" s="383">
        <v>47484</v>
      </c>
      <c r="AB14" s="383">
        <v>47484</v>
      </c>
      <c r="AC14" s="383">
        <v>47484</v>
      </c>
      <c r="AD14" s="383">
        <v>47484</v>
      </c>
      <c r="AE14" s="383">
        <v>47484</v>
      </c>
      <c r="AF14" s="383">
        <v>47484</v>
      </c>
      <c r="AG14" s="383">
        <v>47484</v>
      </c>
      <c r="AH14" s="383"/>
    </row>
    <row r="15" spans="2:34" x14ac:dyDescent="0.2">
      <c r="B15" s="9"/>
      <c r="C15" s="10">
        <f t="shared" si="3"/>
        <v>44423</v>
      </c>
      <c r="D15" s="11">
        <f>DATE(Ref_Annee,8,15)</f>
        <v>44423</v>
      </c>
      <c r="E15" s="12" t="s">
        <v>2</v>
      </c>
      <c r="F15" s="62" t="str">
        <f t="shared" si="2"/>
        <v>F</v>
      </c>
      <c r="G15" s="166">
        <v>2009</v>
      </c>
      <c r="H15" s="59">
        <v>10</v>
      </c>
      <c r="I15" s="209">
        <v>40976</v>
      </c>
      <c r="J15" s="418" t="str">
        <f>IF(Introduction!$E$7=1,"🌕",IF(Introduction!$E$7=2,"O","⚇"))</f>
        <v>🌕</v>
      </c>
      <c r="L15" s="502">
        <f t="shared" si="1"/>
        <v>12</v>
      </c>
      <c r="M15" s="210">
        <v>12</v>
      </c>
      <c r="N15" s="210">
        <v>1</v>
      </c>
      <c r="O15" s="210" t="s">
        <v>66</v>
      </c>
      <c r="P15" s="210" t="str">
        <f>IF(Introduction!$E$7=1,CONCATENATE("🍻 ",O15),IF(Introduction!$E$7=2,CONCATENATE("Fêtons ",O15),CONCATENATE("✓ ",O15)))</f>
        <v>🍻 Tatiana, Marguerite</v>
      </c>
      <c r="R15" s="381">
        <f t="shared" si="0"/>
        <v>44075</v>
      </c>
      <c r="S15" s="381">
        <f t="shared" si="0"/>
        <v>44075</v>
      </c>
      <c r="T15" s="381">
        <f t="shared" si="0"/>
        <v>44075</v>
      </c>
      <c r="U15" s="383"/>
      <c r="V15" s="383">
        <v>44075</v>
      </c>
      <c r="W15" s="383">
        <v>44075</v>
      </c>
      <c r="X15" s="383">
        <v>44075</v>
      </c>
      <c r="Y15" s="383">
        <v>47484</v>
      </c>
      <c r="Z15" s="383">
        <v>47484</v>
      </c>
      <c r="AA15" s="383">
        <v>47484</v>
      </c>
      <c r="AB15" s="383">
        <v>47484</v>
      </c>
      <c r="AC15" s="383">
        <v>47484</v>
      </c>
      <c r="AD15" s="383">
        <v>47484</v>
      </c>
      <c r="AE15" s="383">
        <v>47484</v>
      </c>
      <c r="AF15" s="383">
        <v>47484</v>
      </c>
      <c r="AG15" s="383">
        <v>47484</v>
      </c>
      <c r="AH15" s="383"/>
    </row>
    <row r="16" spans="2:34" x14ac:dyDescent="0.2">
      <c r="B16" s="9"/>
      <c r="C16" s="10">
        <f t="shared" si="3"/>
        <v>44501</v>
      </c>
      <c r="D16" s="11">
        <f>DATE(Ref_Annee,11,1)</f>
        <v>44501</v>
      </c>
      <c r="E16" s="12" t="s">
        <v>3</v>
      </c>
      <c r="F16" s="62" t="str">
        <f t="shared" si="2"/>
        <v>F</v>
      </c>
      <c r="G16" s="166">
        <v>2010</v>
      </c>
      <c r="H16" s="59">
        <v>11</v>
      </c>
      <c r="I16" s="209">
        <v>40983</v>
      </c>
      <c r="J16" s="418" t="str">
        <f>IF(Introduction!$E$7=1,"🌗",IF(Introduction!$E$7=2,"D","☾"))</f>
        <v>🌗</v>
      </c>
      <c r="L16" s="502">
        <f t="shared" si="1"/>
        <v>13</v>
      </c>
      <c r="M16" s="210">
        <v>13</v>
      </c>
      <c r="N16" s="210">
        <v>1</v>
      </c>
      <c r="O16" s="210" t="s">
        <v>67</v>
      </c>
      <c r="P16" s="210" t="str">
        <f>IF(Introduction!$E$7=1,CONCATENATE("🍻 ",O16),IF(Introduction!$E$7=2,CONCATENATE("Fêtons ",O16),CONCATENATE("✓ ",O16)))</f>
        <v>🍻 Hilaire, Yvette</v>
      </c>
      <c r="R16" s="381">
        <f t="shared" si="0"/>
        <v>44121</v>
      </c>
      <c r="S16" s="381">
        <f t="shared" si="0"/>
        <v>44121</v>
      </c>
      <c r="T16" s="381">
        <f t="shared" si="0"/>
        <v>44121</v>
      </c>
      <c r="U16" s="383"/>
      <c r="V16" s="383">
        <v>44121</v>
      </c>
      <c r="W16" s="383">
        <v>44121</v>
      </c>
      <c r="X16" s="383">
        <v>44121</v>
      </c>
      <c r="Y16" s="383">
        <v>47484</v>
      </c>
      <c r="Z16" s="383">
        <v>47484</v>
      </c>
      <c r="AA16" s="383">
        <v>47484</v>
      </c>
      <c r="AB16" s="383">
        <v>47484</v>
      </c>
      <c r="AC16" s="383">
        <v>47484</v>
      </c>
      <c r="AD16" s="383">
        <v>47484</v>
      </c>
      <c r="AE16" s="383">
        <v>47484</v>
      </c>
      <c r="AF16" s="383">
        <v>47484</v>
      </c>
      <c r="AG16" s="383">
        <v>47484</v>
      </c>
      <c r="AH16" s="383"/>
    </row>
    <row r="17" spans="2:34" x14ac:dyDescent="0.2">
      <c r="B17" s="9"/>
      <c r="C17" s="10">
        <f t="shared" si="3"/>
        <v>44511</v>
      </c>
      <c r="D17" s="11">
        <f>DATE(Ref_Annee,11,11)</f>
        <v>44511</v>
      </c>
      <c r="E17" s="12" t="s">
        <v>12</v>
      </c>
      <c r="F17" s="62" t="str">
        <f t="shared" si="2"/>
        <v>F</v>
      </c>
      <c r="G17" s="166">
        <v>2011</v>
      </c>
      <c r="H17" s="59">
        <v>12</v>
      </c>
      <c r="I17" s="209">
        <v>40990</v>
      </c>
      <c r="J17" s="418" t="str">
        <f>IF(Introduction!$E$7=1,"🌑",IF(Introduction!$E$7=2,"N","⚉"))</f>
        <v>🌑</v>
      </c>
      <c r="L17" s="502">
        <f t="shared" si="1"/>
        <v>14</v>
      </c>
      <c r="M17" s="210">
        <v>14</v>
      </c>
      <c r="N17" s="210">
        <v>1</v>
      </c>
      <c r="O17" s="210" t="s">
        <v>68</v>
      </c>
      <c r="P17" s="210" t="str">
        <f>IF(Introduction!$E$7=1,CONCATENATE("🍻 ",O17),IF(Introduction!$E$7=2,CONCATENATE("Fêtons ",O17),CONCATENATE("✓ ",O17)))</f>
        <v>🍻 Nina, Nino</v>
      </c>
      <c r="R17" s="381">
        <f t="shared" si="0"/>
        <v>44137</v>
      </c>
      <c r="S17" s="381">
        <f t="shared" si="0"/>
        <v>44137</v>
      </c>
      <c r="T17" s="381">
        <f t="shared" si="0"/>
        <v>44137</v>
      </c>
      <c r="U17" s="383"/>
      <c r="V17" s="383">
        <v>44137</v>
      </c>
      <c r="W17" s="383">
        <v>44137</v>
      </c>
      <c r="X17" s="383">
        <v>44137</v>
      </c>
      <c r="Y17" s="383">
        <v>47484</v>
      </c>
      <c r="Z17" s="383">
        <v>47484</v>
      </c>
      <c r="AA17" s="383">
        <v>47484</v>
      </c>
      <c r="AB17" s="383">
        <v>47484</v>
      </c>
      <c r="AC17" s="383">
        <v>47484</v>
      </c>
      <c r="AD17" s="383">
        <v>47484</v>
      </c>
      <c r="AE17" s="383">
        <v>47484</v>
      </c>
      <c r="AF17" s="383">
        <v>47484</v>
      </c>
      <c r="AG17" s="383">
        <v>47484</v>
      </c>
      <c r="AH17" s="383"/>
    </row>
    <row r="18" spans="2:34" x14ac:dyDescent="0.2">
      <c r="B18" s="9"/>
      <c r="C18" s="10">
        <f t="shared" si="3"/>
        <v>44555</v>
      </c>
      <c r="D18" s="11">
        <f>DATE(Ref_Annee,12,25)</f>
        <v>44555</v>
      </c>
      <c r="E18" s="13" t="s">
        <v>4</v>
      </c>
      <c r="F18" s="62" t="str">
        <f t="shared" si="2"/>
        <v>F</v>
      </c>
      <c r="G18" s="166">
        <v>2012</v>
      </c>
      <c r="I18" s="209">
        <v>40998</v>
      </c>
      <c r="J18" s="418" t="str">
        <f>IF(Introduction!$E$7=1,"🌓",IF(Introduction!$E$7=2,"P","☽"))</f>
        <v>🌓</v>
      </c>
      <c r="L18" s="502">
        <f t="shared" si="1"/>
        <v>15</v>
      </c>
      <c r="M18" s="210">
        <v>15</v>
      </c>
      <c r="N18" s="210">
        <v>1</v>
      </c>
      <c r="O18" s="210" t="s">
        <v>69</v>
      </c>
      <c r="P18" s="210" t="str">
        <f>IF(Introduction!$E$7=1,CONCATENATE("🍻 ",O18),IF(Introduction!$E$7=2,CONCATENATE("Fêtons ",O18),CONCATENATE("✓ ",O18)))</f>
        <v>🍻 Maur, Rachel, Rémi</v>
      </c>
      <c r="R18" s="381">
        <f t="shared" si="0"/>
        <v>44184</v>
      </c>
      <c r="S18" s="381">
        <f t="shared" si="0"/>
        <v>44184</v>
      </c>
      <c r="T18" s="381">
        <f t="shared" si="0"/>
        <v>44184</v>
      </c>
      <c r="U18" s="383"/>
      <c r="V18" s="383">
        <v>44184</v>
      </c>
      <c r="W18" s="383">
        <v>44184</v>
      </c>
      <c r="X18" s="383">
        <v>44184</v>
      </c>
      <c r="Y18" s="383">
        <v>47484</v>
      </c>
      <c r="Z18" s="383">
        <v>47484</v>
      </c>
      <c r="AA18" s="383">
        <v>47484</v>
      </c>
      <c r="AB18" s="383">
        <v>47484</v>
      </c>
      <c r="AC18" s="383">
        <v>47484</v>
      </c>
      <c r="AD18" s="383">
        <v>47484</v>
      </c>
      <c r="AE18" s="383">
        <v>47484</v>
      </c>
      <c r="AF18" s="383">
        <v>47484</v>
      </c>
      <c r="AG18" s="383">
        <v>47484</v>
      </c>
      <c r="AH18" s="383"/>
    </row>
    <row r="19" spans="2:34" x14ac:dyDescent="0.2">
      <c r="B19" s="9"/>
      <c r="C19" s="10">
        <f>IF(Pâques=H_Ete,"",H_Ete)</f>
        <v>44283</v>
      </c>
      <c r="D19" s="11">
        <f>DATE(Ref_Annee,3,32-WEEKDAY(DATE(Ref_Annee,3,31),1))</f>
        <v>44283</v>
      </c>
      <c r="E19" s="12" t="s">
        <v>30</v>
      </c>
      <c r="F19" s="62" t="str">
        <f t="shared" si="2"/>
        <v>F</v>
      </c>
      <c r="G19" s="166">
        <v>2013</v>
      </c>
      <c r="I19" s="209">
        <v>41005</v>
      </c>
      <c r="J19" s="418" t="str">
        <f>IF(Introduction!$E$7=1,"🌕",IF(Introduction!$E$7=2,"O","⚇"))</f>
        <v>🌕</v>
      </c>
      <c r="L19" s="502">
        <f t="shared" si="1"/>
        <v>16</v>
      </c>
      <c r="M19" s="210">
        <v>16</v>
      </c>
      <c r="N19" s="210">
        <v>1</v>
      </c>
      <c r="O19" s="210" t="s">
        <v>70</v>
      </c>
      <c r="P19" s="210" t="str">
        <f>IF(Introduction!$E$7=1,CONCATENATE("🍻 ",O19),IF(Introduction!$E$7=2,CONCATENATE("Fêtons ",O19),CONCATENATE("✓ ",O19)))</f>
        <v>🍻 Marcel</v>
      </c>
      <c r="R19" s="381">
        <f t="shared" si="0"/>
        <v>44200</v>
      </c>
      <c r="S19" s="381">
        <f t="shared" si="0"/>
        <v>44200</v>
      </c>
      <c r="T19" s="381">
        <f t="shared" si="0"/>
        <v>44200</v>
      </c>
      <c r="U19" s="383"/>
      <c r="V19" s="383">
        <v>44200</v>
      </c>
      <c r="W19" s="383">
        <v>44200</v>
      </c>
      <c r="X19" s="383">
        <v>44200</v>
      </c>
      <c r="Y19" s="383">
        <v>47484</v>
      </c>
      <c r="Z19" s="383">
        <v>47484</v>
      </c>
      <c r="AA19" s="383">
        <v>47484</v>
      </c>
      <c r="AB19" s="383">
        <v>47484</v>
      </c>
      <c r="AC19" s="383">
        <v>47484</v>
      </c>
      <c r="AD19" s="383">
        <v>47484</v>
      </c>
      <c r="AE19" s="383">
        <v>47484</v>
      </c>
      <c r="AF19" s="383">
        <v>47484</v>
      </c>
      <c r="AG19" s="383">
        <v>47484</v>
      </c>
      <c r="AH19" s="383"/>
    </row>
    <row r="20" spans="2:34" ht="17" thickBot="1" x14ac:dyDescent="0.25">
      <c r="B20" s="9"/>
      <c r="C20" s="71">
        <f>D20</f>
        <v>44500</v>
      </c>
      <c r="D20" s="16">
        <f>DATE(Ref_Annee,10,32-WEEKDAY(DATE(Ref_Annee,10,31),1))</f>
        <v>44500</v>
      </c>
      <c r="E20" s="13" t="s">
        <v>31</v>
      </c>
      <c r="F20" s="72" t="str">
        <f t="shared" si="2"/>
        <v>F</v>
      </c>
      <c r="G20" s="166">
        <v>2014</v>
      </c>
      <c r="I20" s="209">
        <v>41012</v>
      </c>
      <c r="J20" s="418" t="str">
        <f>IF(Introduction!$E$7=1,"🌗",IF(Introduction!$E$7=2,"D","☾"))</f>
        <v>🌗</v>
      </c>
      <c r="L20" s="502">
        <f t="shared" si="1"/>
        <v>17</v>
      </c>
      <c r="M20" s="210">
        <v>17</v>
      </c>
      <c r="N20" s="210">
        <v>1</v>
      </c>
      <c r="O20" s="210" t="s">
        <v>71</v>
      </c>
      <c r="P20" s="210" t="str">
        <f>IF(Introduction!$E$7=1,CONCATENATE("🍻 ",O20),IF(Introduction!$E$7=2,CONCATENATE("Fêtons ",O20),CONCATENATE("✓ ",O20)))</f>
        <v>🍻 Antoine , Roseline</v>
      </c>
      <c r="R20" s="381">
        <f t="shared" si="0"/>
        <v>44233</v>
      </c>
      <c r="S20" s="381">
        <f t="shared" si="0"/>
        <v>44247</v>
      </c>
      <c r="T20" s="381">
        <f t="shared" si="0"/>
        <v>44240</v>
      </c>
      <c r="U20" s="383"/>
      <c r="V20" s="383">
        <v>44233</v>
      </c>
      <c r="W20" s="383">
        <v>44247</v>
      </c>
      <c r="X20" s="383">
        <v>44240</v>
      </c>
      <c r="Y20" s="383">
        <v>47484</v>
      </c>
      <c r="Z20" s="383">
        <v>47484</v>
      </c>
      <c r="AA20" s="383">
        <v>47484</v>
      </c>
      <c r="AB20" s="383">
        <v>47484</v>
      </c>
      <c r="AC20" s="383">
        <v>47484</v>
      </c>
      <c r="AD20" s="383">
        <v>47484</v>
      </c>
      <c r="AE20" s="383">
        <v>47484</v>
      </c>
      <c r="AF20" s="383">
        <v>47484</v>
      </c>
      <c r="AG20" s="383">
        <v>47484</v>
      </c>
      <c r="AH20" s="383"/>
    </row>
    <row r="21" spans="2:34" x14ac:dyDescent="0.2">
      <c r="B21" s="73" t="s">
        <v>40</v>
      </c>
      <c r="C21" s="83">
        <f>D21</f>
        <v>44562</v>
      </c>
      <c r="D21" s="84">
        <f>DATE(Ref_Annee+1,1,1)</f>
        <v>44562</v>
      </c>
      <c r="E21" s="332" t="s">
        <v>22</v>
      </c>
      <c r="F21" s="85" t="str">
        <f t="shared" ref="F21:F35" si="4">IF(C21="","","F")</f>
        <v>F</v>
      </c>
      <c r="G21" s="166">
        <v>2015</v>
      </c>
      <c r="I21" s="209">
        <v>41020</v>
      </c>
      <c r="J21" s="418" t="str">
        <f>IF(Introduction!$E$7=1,"🌑",IF(Introduction!$E$7=2,"N","⚉"))</f>
        <v>🌑</v>
      </c>
      <c r="L21" s="502">
        <f t="shared" si="1"/>
        <v>18</v>
      </c>
      <c r="M21" s="210">
        <v>18</v>
      </c>
      <c r="N21" s="210">
        <v>1</v>
      </c>
      <c r="O21" s="210" t="s">
        <v>72</v>
      </c>
      <c r="P21" s="210" t="str">
        <f>IF(Introduction!$E$7=1,CONCATENATE("🍻 ",O21),IF(Introduction!$E$7=2,CONCATENATE("Fêtons ",O21),CONCATENATE("✓ ",O21)))</f>
        <v>🍻 Gwendal, Prisca</v>
      </c>
      <c r="R21" s="381">
        <f t="shared" si="0"/>
        <v>44249</v>
      </c>
      <c r="S21" s="381">
        <f t="shared" si="0"/>
        <v>44263</v>
      </c>
      <c r="T21" s="381">
        <f t="shared" si="0"/>
        <v>44256</v>
      </c>
      <c r="U21" s="383"/>
      <c r="V21" s="383">
        <v>44249</v>
      </c>
      <c r="W21" s="383">
        <v>44263</v>
      </c>
      <c r="X21" s="383">
        <v>44256</v>
      </c>
      <c r="Y21" s="383">
        <v>47484</v>
      </c>
      <c r="Z21" s="383">
        <v>47484</v>
      </c>
      <c r="AA21" s="383">
        <v>47484</v>
      </c>
      <c r="AB21" s="383">
        <v>47484</v>
      </c>
      <c r="AC21" s="383">
        <v>47484</v>
      </c>
      <c r="AD21" s="383">
        <v>47484</v>
      </c>
      <c r="AE21" s="383">
        <v>47484</v>
      </c>
      <c r="AF21" s="383">
        <v>47484</v>
      </c>
      <c r="AG21" s="383">
        <v>47484</v>
      </c>
      <c r="AH21" s="383"/>
    </row>
    <row r="22" spans="2:34" x14ac:dyDescent="0.2">
      <c r="B22" s="9"/>
      <c r="C22" s="10">
        <f>IF(Paques_2=H_Ete_2,"",Paques_2)</f>
        <v>44668</v>
      </c>
      <c r="D22" s="11">
        <f>DATE(Ref_Annee+1,3,29.56+0.979*MOD(204-11*MOD(Ref_Annee+1,19),30)-WEEKDAY(DATE(Ref_Annee+1,3,28.56+0.979*MOD(204-11*MOD(Ref_Annee+1,19),30))))</f>
        <v>44668</v>
      </c>
      <c r="E22" s="12" t="s">
        <v>9</v>
      </c>
      <c r="F22" s="62" t="str">
        <f t="shared" si="4"/>
        <v>F</v>
      </c>
      <c r="G22" s="166">
        <v>2016</v>
      </c>
      <c r="I22" s="209">
        <v>41028</v>
      </c>
      <c r="J22" s="418" t="str">
        <f>IF(Introduction!$E$7=1,"🌓",IF(Introduction!$E$7=2,"P","☽"))</f>
        <v>🌓</v>
      </c>
      <c r="L22" s="502">
        <f t="shared" si="1"/>
        <v>19</v>
      </c>
      <c r="M22" s="210">
        <v>19</v>
      </c>
      <c r="N22" s="210">
        <v>1</v>
      </c>
      <c r="O22" s="210" t="s">
        <v>73</v>
      </c>
      <c r="P22" s="210" t="str">
        <f>IF(Introduction!$E$7=1,CONCATENATE("🍻 ",O22),IF(Introduction!$E$7=2,CONCATENATE("Fêtons ",O22),CONCATENATE("✓ ",O22)))</f>
        <v>🍻 Marius</v>
      </c>
      <c r="R22" s="381">
        <f t="shared" si="0"/>
        <v>44296</v>
      </c>
      <c r="S22" s="381">
        <f t="shared" si="0"/>
        <v>44310</v>
      </c>
      <c r="T22" s="381">
        <f t="shared" si="0"/>
        <v>44303</v>
      </c>
      <c r="U22" s="383"/>
      <c r="V22" s="383">
        <v>44296</v>
      </c>
      <c r="W22" s="383">
        <v>44310</v>
      </c>
      <c r="X22" s="383">
        <v>44303</v>
      </c>
      <c r="Y22" s="383">
        <v>47484</v>
      </c>
      <c r="Z22" s="383">
        <v>47484</v>
      </c>
      <c r="AA22" s="383">
        <v>47484</v>
      </c>
      <c r="AB22" s="383">
        <v>47484</v>
      </c>
      <c r="AC22" s="383">
        <v>47484</v>
      </c>
      <c r="AD22" s="383">
        <v>47484</v>
      </c>
      <c r="AE22" s="383">
        <v>47484</v>
      </c>
      <c r="AF22" s="383">
        <v>47484</v>
      </c>
      <c r="AG22" s="383">
        <v>47484</v>
      </c>
      <c r="AH22" s="383"/>
    </row>
    <row r="23" spans="2:34" x14ac:dyDescent="0.2">
      <c r="B23" s="9"/>
      <c r="C23" s="10">
        <f t="shared" ref="C23:C33" si="5">D23</f>
        <v>44669</v>
      </c>
      <c r="D23" s="11">
        <f>Paques_2+1</f>
        <v>44669</v>
      </c>
      <c r="E23" s="12" t="s">
        <v>32</v>
      </c>
      <c r="F23" s="62" t="str">
        <f t="shared" si="4"/>
        <v>F</v>
      </c>
      <c r="G23" s="166">
        <v>2017</v>
      </c>
      <c r="I23" s="209">
        <v>41035</v>
      </c>
      <c r="J23" s="418" t="str">
        <f>IF(Introduction!$E$7=1,"🌕",IF(Introduction!$E$7=2,"O","⚇"))</f>
        <v>🌕</v>
      </c>
      <c r="L23" s="502">
        <f t="shared" si="1"/>
        <v>20</v>
      </c>
      <c r="M23" s="210">
        <v>20</v>
      </c>
      <c r="N23" s="210">
        <v>1</v>
      </c>
      <c r="O23" s="210" t="s">
        <v>74</v>
      </c>
      <c r="P23" s="210" t="str">
        <f>IF(Introduction!$E$7=1,CONCATENATE("🍻 ",O23),IF(Introduction!$E$7=2,CONCATENATE("Fêtons ",O23),CONCATENATE("✓ ",O23)))</f>
        <v>🍻 Fabien, Sébastien</v>
      </c>
      <c r="R23" s="381">
        <f t="shared" si="0"/>
        <v>44312</v>
      </c>
      <c r="S23" s="381">
        <f t="shared" si="0"/>
        <v>44326</v>
      </c>
      <c r="T23" s="381">
        <f t="shared" si="0"/>
        <v>44319</v>
      </c>
      <c r="U23" s="383"/>
      <c r="V23" s="383">
        <v>44312</v>
      </c>
      <c r="W23" s="383">
        <v>44326</v>
      </c>
      <c r="X23" s="383">
        <v>44319</v>
      </c>
      <c r="Y23" s="383">
        <v>47484</v>
      </c>
      <c r="Z23" s="383">
        <v>47484</v>
      </c>
      <c r="AA23" s="383">
        <v>47484</v>
      </c>
      <c r="AB23" s="383">
        <v>47484</v>
      </c>
      <c r="AC23" s="383">
        <v>47484</v>
      </c>
      <c r="AD23" s="383">
        <v>47484</v>
      </c>
      <c r="AE23" s="383">
        <v>47484</v>
      </c>
      <c r="AF23" s="383">
        <v>47484</v>
      </c>
      <c r="AG23" s="383">
        <v>47484</v>
      </c>
      <c r="AH23" s="383"/>
    </row>
    <row r="24" spans="2:34" x14ac:dyDescent="0.2">
      <c r="B24" s="9"/>
      <c r="C24" s="10">
        <f>IF(Ascension_2=Fete_Trav_2,"",Fete_Trav_2)</f>
        <v>44682</v>
      </c>
      <c r="D24" s="11">
        <f>DATE(Ref_Annee+1,5,1)</f>
        <v>44682</v>
      </c>
      <c r="E24" s="12" t="s">
        <v>1</v>
      </c>
      <c r="F24" s="62" t="str">
        <f t="shared" si="4"/>
        <v>F</v>
      </c>
      <c r="G24" s="166">
        <v>2018</v>
      </c>
      <c r="I24" s="209">
        <v>41041</v>
      </c>
      <c r="J24" s="418" t="str">
        <f>IF(Introduction!$E$7=1,"🌗",IF(Introduction!$E$7=2,"D","☾"))</f>
        <v>🌗</v>
      </c>
      <c r="L24" s="502">
        <f t="shared" si="1"/>
        <v>21</v>
      </c>
      <c r="M24" s="210">
        <v>21</v>
      </c>
      <c r="N24" s="210">
        <v>1</v>
      </c>
      <c r="O24" s="210" t="s">
        <v>75</v>
      </c>
      <c r="P24" s="210" t="str">
        <f>IF(Introduction!$E$7=1,CONCATENATE("🍻 ",O24),IF(Introduction!$E$7=2,CONCATENATE("Fêtons ",O24),CONCATENATE("✓ ",O24)))</f>
        <v>🍻 Agnès</v>
      </c>
      <c r="R24" s="381">
        <f t="shared" ref="R24:T43" si="6">INDEX($U24:$AH24,1,MATCH(R$3,$U$3:$AH$3,0))</f>
        <v>44329</v>
      </c>
      <c r="S24" s="381">
        <f t="shared" si="6"/>
        <v>44329</v>
      </c>
      <c r="T24" s="381">
        <f t="shared" si="6"/>
        <v>44329</v>
      </c>
      <c r="U24" s="383"/>
      <c r="V24" s="383">
        <v>44329</v>
      </c>
      <c r="W24" s="383">
        <v>44329</v>
      </c>
      <c r="X24" s="383">
        <v>44329</v>
      </c>
      <c r="Y24" s="383">
        <v>47484</v>
      </c>
      <c r="Z24" s="383">
        <v>47484</v>
      </c>
      <c r="AA24" s="383">
        <v>47484</v>
      </c>
      <c r="AB24" s="383">
        <v>47484</v>
      </c>
      <c r="AC24" s="383">
        <v>47484</v>
      </c>
      <c r="AD24" s="383">
        <v>47484</v>
      </c>
      <c r="AE24" s="383">
        <v>47484</v>
      </c>
      <c r="AF24" s="383">
        <v>47484</v>
      </c>
      <c r="AG24" s="383">
        <v>47484</v>
      </c>
      <c r="AH24" s="383"/>
    </row>
    <row r="25" spans="2:34" x14ac:dyDescent="0.2">
      <c r="B25" s="9"/>
      <c r="C25" s="10">
        <f>IF(Ascension_2=Fete_Trav_2,"",Ascension_2)</f>
        <v>44707</v>
      </c>
      <c r="D25" s="11">
        <f>Paques_2+39</f>
        <v>44707</v>
      </c>
      <c r="E25" s="12" t="s">
        <v>5</v>
      </c>
      <c r="F25" s="62" t="str">
        <f t="shared" si="4"/>
        <v>F</v>
      </c>
      <c r="G25" s="166">
        <v>2019</v>
      </c>
      <c r="I25" s="209">
        <v>41049</v>
      </c>
      <c r="J25" s="418" t="str">
        <f>IF(Introduction!$E$7=1,"🌑",IF(Introduction!$E$7=2,"N","⚉"))</f>
        <v>🌑</v>
      </c>
      <c r="L25" s="502">
        <f t="shared" si="1"/>
        <v>22</v>
      </c>
      <c r="M25" s="210">
        <v>22</v>
      </c>
      <c r="N25" s="210">
        <v>1</v>
      </c>
      <c r="O25" s="210" t="s">
        <v>76</v>
      </c>
      <c r="P25" s="210" t="str">
        <f>IF(Introduction!$E$7=1,CONCATENATE("🍻 ",O25),IF(Introduction!$E$7=2,CONCATENATE("Fêtons ",O25),CONCATENATE("✓ ",O25)))</f>
        <v>🍻 Vincent</v>
      </c>
      <c r="R25" s="381">
        <f t="shared" si="6"/>
        <v>44333</v>
      </c>
      <c r="S25" s="381">
        <f t="shared" si="6"/>
        <v>44333</v>
      </c>
      <c r="T25" s="381">
        <f t="shared" si="6"/>
        <v>44333</v>
      </c>
      <c r="U25" s="383"/>
      <c r="V25" s="383">
        <v>44333</v>
      </c>
      <c r="W25" s="383">
        <v>44333</v>
      </c>
      <c r="X25" s="383">
        <v>44333</v>
      </c>
      <c r="Y25" s="383">
        <v>47484</v>
      </c>
      <c r="Z25" s="383">
        <v>47484</v>
      </c>
      <c r="AA25" s="383">
        <v>47484</v>
      </c>
      <c r="AB25" s="383">
        <v>47484</v>
      </c>
      <c r="AC25" s="383">
        <v>47484</v>
      </c>
      <c r="AD25" s="383">
        <v>47484</v>
      </c>
      <c r="AE25" s="383">
        <v>47484</v>
      </c>
      <c r="AF25" s="383">
        <v>47484</v>
      </c>
      <c r="AG25" s="383">
        <v>47484</v>
      </c>
      <c r="AH25" s="383"/>
    </row>
    <row r="26" spans="2:34" x14ac:dyDescent="0.2">
      <c r="B26" s="9"/>
      <c r="C26" s="10">
        <f>Vict_45_2</f>
        <v>44689</v>
      </c>
      <c r="D26" s="11">
        <f>DATE(Ref_Annee+1,5,8)</f>
        <v>44689</v>
      </c>
      <c r="E26" s="12" t="s">
        <v>13</v>
      </c>
      <c r="F26" s="62" t="str">
        <f t="shared" si="4"/>
        <v>F</v>
      </c>
      <c r="G26" s="166">
        <v>2020</v>
      </c>
      <c r="I26" s="209">
        <v>41057</v>
      </c>
      <c r="J26" s="418" t="str">
        <f>IF(Introduction!$E$7=1,"🌓",IF(Introduction!$E$7=2,"P","☽"))</f>
        <v>🌓</v>
      </c>
      <c r="L26" s="502">
        <f t="shared" si="1"/>
        <v>23</v>
      </c>
      <c r="M26" s="210">
        <v>23</v>
      </c>
      <c r="N26" s="210">
        <v>1</v>
      </c>
      <c r="O26" s="210" t="s">
        <v>77</v>
      </c>
      <c r="P26" s="210" t="str">
        <f>IF(Introduction!$E$7=1,CONCATENATE("🍻 ",O26),IF(Introduction!$E$7=2,CONCATENATE("Fêtons ",O26),CONCATENATE("✓ ",O26)))</f>
        <v>🍻 Barnard</v>
      </c>
      <c r="R26" s="381">
        <f t="shared" si="6"/>
        <v>44384</v>
      </c>
      <c r="S26" s="381">
        <f t="shared" si="6"/>
        <v>44384</v>
      </c>
      <c r="T26" s="381">
        <f t="shared" si="6"/>
        <v>44384</v>
      </c>
      <c r="U26" s="383"/>
      <c r="V26" s="383">
        <v>44384</v>
      </c>
      <c r="W26" s="383">
        <v>44384</v>
      </c>
      <c r="X26" s="383">
        <v>44384</v>
      </c>
      <c r="Y26" s="383">
        <v>47484</v>
      </c>
      <c r="Z26" s="383">
        <v>47484</v>
      </c>
      <c r="AA26" s="383">
        <v>47484</v>
      </c>
      <c r="AB26" s="383">
        <v>47484</v>
      </c>
      <c r="AC26" s="383">
        <v>47484</v>
      </c>
      <c r="AD26" s="383">
        <v>47484</v>
      </c>
      <c r="AE26" s="383">
        <v>47484</v>
      </c>
      <c r="AF26" s="383">
        <v>47484</v>
      </c>
      <c r="AG26" s="383">
        <v>47484</v>
      </c>
      <c r="AH26" s="383"/>
    </row>
    <row r="27" spans="2:34" x14ac:dyDescent="0.2">
      <c r="B27" s="9"/>
      <c r="C27" s="10">
        <f t="shared" si="5"/>
        <v>44717</v>
      </c>
      <c r="D27" s="11">
        <f>Paques_2+49</f>
        <v>44717</v>
      </c>
      <c r="E27" s="12" t="s">
        <v>6</v>
      </c>
      <c r="F27" s="62" t="str">
        <f t="shared" si="4"/>
        <v>F</v>
      </c>
      <c r="G27" s="166">
        <v>2021</v>
      </c>
      <c r="I27" s="209">
        <v>41064</v>
      </c>
      <c r="J27" s="418" t="str">
        <f>IF(Introduction!$E$7=1,"🌕",IF(Introduction!$E$7=2,"O","⚇"))</f>
        <v>🌕</v>
      </c>
      <c r="L27" s="502">
        <f t="shared" si="1"/>
        <v>24</v>
      </c>
      <c r="M27" s="210">
        <v>24</v>
      </c>
      <c r="N27" s="210">
        <v>1</v>
      </c>
      <c r="O27" s="210" t="s">
        <v>78</v>
      </c>
      <c r="P27" s="210" t="str">
        <f>IF(Introduction!$E$7=1,CONCATENATE("🍻 ",O27),IF(Introduction!$E$7=2,CONCATENATE("Fêtons ",O27),CONCATENATE("✓ ",O27)))</f>
        <v>🍻 François</v>
      </c>
      <c r="R27" s="381">
        <f t="shared" si="6"/>
        <v>44440</v>
      </c>
      <c r="S27" s="381">
        <f t="shared" si="6"/>
        <v>44440</v>
      </c>
      <c r="T27" s="381">
        <f t="shared" si="6"/>
        <v>44440</v>
      </c>
      <c r="U27" s="383"/>
      <c r="V27" s="383">
        <v>44440</v>
      </c>
      <c r="W27" s="383">
        <v>44440</v>
      </c>
      <c r="X27" s="383">
        <v>44440</v>
      </c>
      <c r="Y27" s="383">
        <v>47484</v>
      </c>
      <c r="Z27" s="383">
        <v>47484</v>
      </c>
      <c r="AA27" s="383">
        <v>47484</v>
      </c>
      <c r="AB27" s="383">
        <v>47484</v>
      </c>
      <c r="AC27" s="383">
        <v>47484</v>
      </c>
      <c r="AD27" s="383">
        <v>47484</v>
      </c>
      <c r="AE27" s="383">
        <v>47484</v>
      </c>
      <c r="AF27" s="383">
        <v>47484</v>
      </c>
      <c r="AG27" s="383">
        <v>47484</v>
      </c>
      <c r="AH27" s="383"/>
    </row>
    <row r="28" spans="2:34" x14ac:dyDescent="0.2">
      <c r="B28" s="9"/>
      <c r="C28" s="10">
        <f t="shared" si="5"/>
        <v>44718</v>
      </c>
      <c r="D28" s="11">
        <f>Paques_2+50</f>
        <v>44718</v>
      </c>
      <c r="E28" s="12" t="s">
        <v>29</v>
      </c>
      <c r="F28" s="62" t="str">
        <f t="shared" si="4"/>
        <v>F</v>
      </c>
      <c r="G28" s="166">
        <v>2022</v>
      </c>
      <c r="I28" s="209">
        <v>41071</v>
      </c>
      <c r="J28" s="418" t="str">
        <f>IF(Introduction!$E$7=1,"🌗",IF(Introduction!$E$7=2,"D","☾"))</f>
        <v>🌗</v>
      </c>
      <c r="L28" s="502">
        <f t="shared" si="1"/>
        <v>25</v>
      </c>
      <c r="M28" s="210">
        <v>25</v>
      </c>
      <c r="N28" s="210">
        <v>1</v>
      </c>
      <c r="O28" s="210" t="s">
        <v>79</v>
      </c>
      <c r="P28" s="210" t="str">
        <f>IF(Introduction!$E$7=1,CONCATENATE("🍻 ",O28),IF(Introduction!$E$7=2,CONCATENATE("Fêtons ",O28),CONCATENATE("✓ ",O28)))</f>
        <v>🍻 Paul</v>
      </c>
      <c r="R28" s="381">
        <f t="shared" si="6"/>
        <v>44485</v>
      </c>
      <c r="S28" s="381">
        <f t="shared" si="6"/>
        <v>44485</v>
      </c>
      <c r="T28" s="381">
        <f t="shared" si="6"/>
        <v>44485</v>
      </c>
      <c r="U28" s="383"/>
      <c r="V28" s="383">
        <v>44485</v>
      </c>
      <c r="W28" s="383">
        <v>44485</v>
      </c>
      <c r="X28" s="383">
        <v>44485</v>
      </c>
      <c r="Y28" s="383">
        <v>47484</v>
      </c>
      <c r="Z28" s="383">
        <v>47484</v>
      </c>
      <c r="AA28" s="383">
        <v>47484</v>
      </c>
      <c r="AB28" s="383">
        <v>47484</v>
      </c>
      <c r="AC28" s="383">
        <v>47484</v>
      </c>
      <c r="AD28" s="383">
        <v>47484</v>
      </c>
      <c r="AE28" s="383">
        <v>47484</v>
      </c>
      <c r="AF28" s="383">
        <v>47484</v>
      </c>
      <c r="AG28" s="383">
        <v>47484</v>
      </c>
      <c r="AH28" s="383"/>
    </row>
    <row r="29" spans="2:34" x14ac:dyDescent="0.2">
      <c r="B29" s="9"/>
      <c r="C29" s="10">
        <f t="shared" si="5"/>
        <v>44756</v>
      </c>
      <c r="D29" s="11">
        <f>DATE(Ref_Annee+1,7,14)</f>
        <v>44756</v>
      </c>
      <c r="E29" s="12" t="s">
        <v>11</v>
      </c>
      <c r="F29" s="62" t="str">
        <f t="shared" si="4"/>
        <v>F</v>
      </c>
      <c r="G29" s="166">
        <v>2023</v>
      </c>
      <c r="I29" s="209">
        <v>41079</v>
      </c>
      <c r="J29" s="418" t="str">
        <f>IF(Introduction!$E$7=1,"🌑",IF(Introduction!$E$7=2,"N","⚉"))</f>
        <v>🌑</v>
      </c>
      <c r="L29" s="502">
        <f t="shared" si="1"/>
        <v>26</v>
      </c>
      <c r="M29" s="210">
        <v>26</v>
      </c>
      <c r="N29" s="210">
        <v>1</v>
      </c>
      <c r="O29" s="210" t="s">
        <v>80</v>
      </c>
      <c r="P29" s="210" t="str">
        <f>IF(Introduction!$E$7=1,CONCATENATE("🍻 ",O29),IF(Introduction!$E$7=2,CONCATENATE("Fêtons ",O29),CONCATENATE("✓ ",O29)))</f>
        <v>🍻 Paule, Pauline, Thimothée</v>
      </c>
      <c r="R29" s="381">
        <f t="shared" si="6"/>
        <v>44501</v>
      </c>
      <c r="S29" s="381">
        <f t="shared" si="6"/>
        <v>44501</v>
      </c>
      <c r="T29" s="381">
        <f t="shared" si="6"/>
        <v>44501</v>
      </c>
      <c r="U29" s="383"/>
      <c r="V29" s="383">
        <v>44501</v>
      </c>
      <c r="W29" s="383">
        <v>44501</v>
      </c>
      <c r="X29" s="383">
        <v>44501</v>
      </c>
      <c r="Y29" s="383">
        <v>47484</v>
      </c>
      <c r="Z29" s="383">
        <v>47484</v>
      </c>
      <c r="AA29" s="383">
        <v>47484</v>
      </c>
      <c r="AB29" s="383">
        <v>47484</v>
      </c>
      <c r="AC29" s="383">
        <v>47484</v>
      </c>
      <c r="AD29" s="383">
        <v>47484</v>
      </c>
      <c r="AE29" s="383">
        <v>47484</v>
      </c>
      <c r="AF29" s="383">
        <v>47484</v>
      </c>
      <c r="AG29" s="383">
        <v>47484</v>
      </c>
      <c r="AH29" s="383"/>
    </row>
    <row r="30" spans="2:34" x14ac:dyDescent="0.2">
      <c r="B30" s="9"/>
      <c r="C30" s="10">
        <f t="shared" si="5"/>
        <v>44788</v>
      </c>
      <c r="D30" s="11">
        <f>DATE(Ref_Annee+1,8,15)</f>
        <v>44788</v>
      </c>
      <c r="E30" s="12" t="s">
        <v>2</v>
      </c>
      <c r="F30" s="62" t="str">
        <f t="shared" si="4"/>
        <v>F</v>
      </c>
      <c r="G30" s="166">
        <v>2024</v>
      </c>
      <c r="I30" s="209">
        <v>41087</v>
      </c>
      <c r="J30" s="418" t="str">
        <f>IF(Introduction!$E$7=1,"🌓",IF(Introduction!$E$7=2,"P","☽"))</f>
        <v>🌓</v>
      </c>
      <c r="L30" s="502">
        <f t="shared" si="1"/>
        <v>27</v>
      </c>
      <c r="M30" s="210">
        <v>27</v>
      </c>
      <c r="N30" s="210">
        <v>1</v>
      </c>
      <c r="O30" s="210" t="s">
        <v>81</v>
      </c>
      <c r="P30" s="210" t="str">
        <f>IF(Introduction!$E$7=1,CONCATENATE("🍻 ",O30),IF(Introduction!$E$7=2,CONCATENATE("Fêtons ",O30),CONCATENATE("✓ ",O30)))</f>
        <v>🍻 Angèle, Julien</v>
      </c>
      <c r="R30" s="381">
        <f t="shared" si="6"/>
        <v>44548</v>
      </c>
      <c r="S30" s="381">
        <f t="shared" si="6"/>
        <v>44548</v>
      </c>
      <c r="T30" s="381">
        <f t="shared" si="6"/>
        <v>44548</v>
      </c>
      <c r="U30" s="383"/>
      <c r="V30" s="383">
        <v>44548</v>
      </c>
      <c r="W30" s="383">
        <v>44548</v>
      </c>
      <c r="X30" s="383">
        <v>44548</v>
      </c>
      <c r="Y30" s="383">
        <v>47484</v>
      </c>
      <c r="Z30" s="383">
        <v>47484</v>
      </c>
      <c r="AA30" s="383">
        <v>47484</v>
      </c>
      <c r="AB30" s="383">
        <v>47484</v>
      </c>
      <c r="AC30" s="383">
        <v>47484</v>
      </c>
      <c r="AD30" s="383">
        <v>47484</v>
      </c>
      <c r="AE30" s="383">
        <v>47484</v>
      </c>
      <c r="AF30" s="383">
        <v>47484</v>
      </c>
      <c r="AG30" s="383">
        <v>47484</v>
      </c>
      <c r="AH30" s="383"/>
    </row>
    <row r="31" spans="2:34" x14ac:dyDescent="0.2">
      <c r="B31" s="9"/>
      <c r="C31" s="10">
        <f t="shared" si="5"/>
        <v>44866</v>
      </c>
      <c r="D31" s="11">
        <f>DATE(Ref_Annee+1,11,1)</f>
        <v>44866</v>
      </c>
      <c r="E31" s="12" t="s">
        <v>3</v>
      </c>
      <c r="F31" s="62" t="str">
        <f t="shared" si="4"/>
        <v>F</v>
      </c>
      <c r="G31" s="166">
        <v>2025</v>
      </c>
      <c r="I31" s="209">
        <v>41093</v>
      </c>
      <c r="J31" s="418" t="str">
        <f>IF(Introduction!$E$7=1,"🌕",IF(Introduction!$E$7=2,"O","⚇"))</f>
        <v>🌕</v>
      </c>
      <c r="L31" s="502">
        <f t="shared" si="1"/>
        <v>28</v>
      </c>
      <c r="M31" s="210">
        <v>28</v>
      </c>
      <c r="N31" s="210">
        <v>1</v>
      </c>
      <c r="O31" s="210" t="s">
        <v>82</v>
      </c>
      <c r="P31" s="210" t="str">
        <f>IF(Introduction!$E$7=1,CONCATENATE("🍻 ",O31),IF(Introduction!$E$7=2,CONCATENATE("Fêtons ",O31),CONCATENATE("✓ ",O31)))</f>
        <v>🍻 Charlemagne, Manfred, Thomas</v>
      </c>
      <c r="R31" s="381">
        <f t="shared" si="6"/>
        <v>44564</v>
      </c>
      <c r="S31" s="381">
        <f t="shared" si="6"/>
        <v>44564</v>
      </c>
      <c r="T31" s="381">
        <f t="shared" si="6"/>
        <v>44564</v>
      </c>
      <c r="U31" s="383"/>
      <c r="V31" s="383">
        <v>44564</v>
      </c>
      <c r="W31" s="383">
        <v>44564</v>
      </c>
      <c r="X31" s="383">
        <v>44564</v>
      </c>
      <c r="Y31" s="383">
        <v>47484</v>
      </c>
      <c r="Z31" s="383">
        <v>47484</v>
      </c>
      <c r="AA31" s="383">
        <v>47484</v>
      </c>
      <c r="AB31" s="383">
        <v>47484</v>
      </c>
      <c r="AC31" s="383">
        <v>47484</v>
      </c>
      <c r="AD31" s="383">
        <v>47484</v>
      </c>
      <c r="AE31" s="383">
        <v>47484</v>
      </c>
      <c r="AF31" s="383">
        <v>47484</v>
      </c>
      <c r="AG31" s="383">
        <v>47484</v>
      </c>
      <c r="AH31" s="383"/>
    </row>
    <row r="32" spans="2:34" x14ac:dyDescent="0.2">
      <c r="B32" s="9"/>
      <c r="C32" s="10">
        <f t="shared" si="5"/>
        <v>44876</v>
      </c>
      <c r="D32" s="11">
        <f>DATE(Ref_Annee+1,11,11)</f>
        <v>44876</v>
      </c>
      <c r="E32" s="12" t="s">
        <v>12</v>
      </c>
      <c r="F32" s="62" t="str">
        <f t="shared" si="4"/>
        <v>F</v>
      </c>
      <c r="G32" s="166">
        <v>2026</v>
      </c>
      <c r="I32" s="209">
        <v>41101</v>
      </c>
      <c r="J32" s="418" t="str">
        <f>IF(Introduction!$E$7=1,"🌗",IF(Introduction!$E$7=2,"D","☾"))</f>
        <v>🌗</v>
      </c>
      <c r="L32" s="502">
        <f t="shared" si="1"/>
        <v>29</v>
      </c>
      <c r="M32" s="210">
        <v>29</v>
      </c>
      <c r="N32" s="210">
        <v>1</v>
      </c>
      <c r="O32" s="210" t="s">
        <v>83</v>
      </c>
      <c r="P32" s="210" t="str">
        <f>IF(Introduction!$E$7=1,CONCATENATE("🍻 ",O32),IF(Introduction!$E$7=2,CONCATENATE("Fêtons ",O32),CONCATENATE("✓ ",O32)))</f>
        <v>🍻 Gildas, Sulpice</v>
      </c>
      <c r="R32" s="381">
        <f t="shared" si="6"/>
        <v>44604</v>
      </c>
      <c r="S32" s="381">
        <f t="shared" si="6"/>
        <v>44597</v>
      </c>
      <c r="T32" s="381">
        <f t="shared" si="6"/>
        <v>44611</v>
      </c>
      <c r="U32" s="383"/>
      <c r="V32" s="383">
        <v>44604</v>
      </c>
      <c r="W32" s="383">
        <v>44597</v>
      </c>
      <c r="X32" s="383">
        <v>44611</v>
      </c>
      <c r="Y32" s="383">
        <v>47484</v>
      </c>
      <c r="Z32" s="383">
        <v>47484</v>
      </c>
      <c r="AA32" s="383">
        <v>47484</v>
      </c>
      <c r="AB32" s="383">
        <v>47484</v>
      </c>
      <c r="AC32" s="383">
        <v>47484</v>
      </c>
      <c r="AD32" s="383">
        <v>47484</v>
      </c>
      <c r="AE32" s="383">
        <v>47484</v>
      </c>
      <c r="AF32" s="383">
        <v>47484</v>
      </c>
      <c r="AG32" s="383">
        <v>47484</v>
      </c>
      <c r="AH32" s="383"/>
    </row>
    <row r="33" spans="2:34" x14ac:dyDescent="0.2">
      <c r="B33" s="9"/>
      <c r="C33" s="10">
        <f t="shared" si="5"/>
        <v>44920</v>
      </c>
      <c r="D33" s="11">
        <f>DATE(Ref_Annee+1,12,25)</f>
        <v>44920</v>
      </c>
      <c r="E33" s="12" t="s">
        <v>4</v>
      </c>
      <c r="F33" s="62" t="str">
        <f t="shared" si="4"/>
        <v>F</v>
      </c>
      <c r="G33" s="166">
        <v>2027</v>
      </c>
      <c r="I33" s="209">
        <v>41109</v>
      </c>
      <c r="J33" s="418" t="str">
        <f>IF(Introduction!$E$7=1,"🌑",IF(Introduction!$E$7=2,"N","⚉"))</f>
        <v>🌑</v>
      </c>
      <c r="L33" s="502">
        <f t="shared" si="1"/>
        <v>30</v>
      </c>
      <c r="M33" s="210">
        <v>30</v>
      </c>
      <c r="N33" s="210">
        <v>1</v>
      </c>
      <c r="O33" s="210" t="s">
        <v>84</v>
      </c>
      <c r="P33" s="210" t="str">
        <f>IF(Introduction!$E$7=1,CONCATENATE("🍻 ",O33),IF(Introduction!$E$7=2,CONCATENATE("Fêtons ",O33),CONCATENATE("✓ ",O33)))</f>
        <v>🍻 Jacinthe, Martine</v>
      </c>
      <c r="R33" s="381">
        <f t="shared" si="6"/>
        <v>44620</v>
      </c>
      <c r="S33" s="381">
        <f t="shared" si="6"/>
        <v>44613</v>
      </c>
      <c r="T33" s="381">
        <f t="shared" si="6"/>
        <v>44627</v>
      </c>
      <c r="U33" s="383"/>
      <c r="V33" s="383">
        <v>44620</v>
      </c>
      <c r="W33" s="383">
        <v>44613</v>
      </c>
      <c r="X33" s="383">
        <v>44627</v>
      </c>
      <c r="Y33" s="383">
        <v>47484</v>
      </c>
      <c r="Z33" s="383">
        <v>47484</v>
      </c>
      <c r="AA33" s="383">
        <v>47484</v>
      </c>
      <c r="AB33" s="383">
        <v>47484</v>
      </c>
      <c r="AC33" s="383">
        <v>47484</v>
      </c>
      <c r="AD33" s="383">
        <v>47484</v>
      </c>
      <c r="AE33" s="383">
        <v>47484</v>
      </c>
      <c r="AF33" s="383">
        <v>47484</v>
      </c>
      <c r="AG33" s="383">
        <v>47484</v>
      </c>
      <c r="AH33" s="383"/>
    </row>
    <row r="34" spans="2:34" x14ac:dyDescent="0.2">
      <c r="B34" s="9"/>
      <c r="C34" s="10">
        <f>IF(Paques_2=H_Ete_2,"",H_Ete_2)</f>
        <v>44647</v>
      </c>
      <c r="D34" s="11">
        <f>DATE(Ref_Annee+1,3,32-WEEKDAY(DATE(Ref_Annee+1,3,31),1))</f>
        <v>44647</v>
      </c>
      <c r="E34" s="12" t="s">
        <v>30</v>
      </c>
      <c r="F34" s="62" t="str">
        <f t="shared" si="4"/>
        <v>F</v>
      </c>
      <c r="G34" s="166">
        <v>2028</v>
      </c>
      <c r="I34" s="209">
        <v>41116</v>
      </c>
      <c r="J34" s="418" t="str">
        <f>IF(Introduction!$E$7=1,"🌓",IF(Introduction!$E$7=2,"P","☽"))</f>
        <v>🌓</v>
      </c>
      <c r="L34" s="502">
        <f t="shared" si="1"/>
        <v>31</v>
      </c>
      <c r="M34" s="210">
        <v>31</v>
      </c>
      <c r="N34" s="210">
        <v>1</v>
      </c>
      <c r="O34" s="210" t="s">
        <v>85</v>
      </c>
      <c r="P34" s="210" t="str">
        <f>IF(Introduction!$E$7=1,CONCATENATE("🍻 ",O34),IF(Introduction!$E$7=2,CONCATENATE("Fêtons ",O34),CONCATENATE("✓ ",O34)))</f>
        <v>🍻 Marcelle</v>
      </c>
      <c r="R34" s="381">
        <f t="shared" si="6"/>
        <v>44660</v>
      </c>
      <c r="S34" s="381">
        <f t="shared" si="6"/>
        <v>44653</v>
      </c>
      <c r="T34" s="381">
        <f t="shared" si="6"/>
        <v>44667</v>
      </c>
      <c r="U34" s="383"/>
      <c r="V34" s="383">
        <v>44660</v>
      </c>
      <c r="W34" s="383">
        <v>44653</v>
      </c>
      <c r="X34" s="383">
        <v>44667</v>
      </c>
      <c r="Y34" s="383">
        <v>47484</v>
      </c>
      <c r="Z34" s="383">
        <v>47484</v>
      </c>
      <c r="AA34" s="383">
        <v>47484</v>
      </c>
      <c r="AB34" s="383">
        <v>47484</v>
      </c>
      <c r="AC34" s="383">
        <v>47484</v>
      </c>
      <c r="AD34" s="383">
        <v>47484</v>
      </c>
      <c r="AE34" s="383">
        <v>47484</v>
      </c>
      <c r="AF34" s="383">
        <v>47484</v>
      </c>
      <c r="AG34" s="383">
        <v>47484</v>
      </c>
      <c r="AH34" s="383"/>
    </row>
    <row r="35" spans="2:34" x14ac:dyDescent="0.2">
      <c r="B35" s="9"/>
      <c r="C35" s="10">
        <f>D35</f>
        <v>44864</v>
      </c>
      <c r="D35" s="11">
        <f>DATE(Ref_Annee+1,10,32-WEEKDAY(DATE(Ref_Annee+1,10,31),1))</f>
        <v>44864</v>
      </c>
      <c r="E35" s="12" t="s">
        <v>31</v>
      </c>
      <c r="F35" s="62" t="str">
        <f t="shared" si="4"/>
        <v>F</v>
      </c>
      <c r="G35" s="166">
        <v>2029</v>
      </c>
      <c r="I35" s="209">
        <v>41123</v>
      </c>
      <c r="J35" s="418" t="str">
        <f>IF(Introduction!$E$7=1,"🌕",IF(Introduction!$E$7=2,"O","⚇"))</f>
        <v>🌕</v>
      </c>
      <c r="L35" s="502">
        <f t="shared" si="1"/>
        <v>32</v>
      </c>
      <c r="M35" s="210">
        <v>1</v>
      </c>
      <c r="N35" s="210">
        <v>2</v>
      </c>
      <c r="O35" s="210" t="s">
        <v>86</v>
      </c>
      <c r="P35" s="210" t="str">
        <f>IF(Introduction!$E$7=1,CONCATENATE("🍻 ",O35),IF(Introduction!$E$7=2,CONCATENATE("Fêtons ",O35),CONCATENATE("✓ ",O35)))</f>
        <v>🍻 Auguste, Ella, Siméon</v>
      </c>
      <c r="R35" s="381">
        <f t="shared" si="6"/>
        <v>44676</v>
      </c>
      <c r="S35" s="381">
        <f t="shared" si="6"/>
        <v>44669</v>
      </c>
      <c r="T35" s="381">
        <f t="shared" si="6"/>
        <v>44683</v>
      </c>
      <c r="U35" s="383"/>
      <c r="V35" s="383">
        <v>44676</v>
      </c>
      <c r="W35" s="383">
        <v>44669</v>
      </c>
      <c r="X35" s="383">
        <v>44683</v>
      </c>
      <c r="Y35" s="383">
        <v>47484</v>
      </c>
      <c r="Z35" s="383">
        <v>47484</v>
      </c>
      <c r="AA35" s="383">
        <v>47484</v>
      </c>
      <c r="AB35" s="383">
        <v>47484</v>
      </c>
      <c r="AC35" s="383">
        <v>47484</v>
      </c>
      <c r="AD35" s="383">
        <v>47484</v>
      </c>
      <c r="AE35" s="383">
        <v>47484</v>
      </c>
      <c r="AF35" s="383">
        <v>47484</v>
      </c>
      <c r="AG35" s="383">
        <v>47484</v>
      </c>
      <c r="AH35" s="383"/>
    </row>
    <row r="36" spans="2:34" ht="17" thickBot="1" x14ac:dyDescent="0.25">
      <c r="B36" s="9"/>
      <c r="C36" s="71"/>
      <c r="D36" s="16"/>
      <c r="E36" s="13"/>
      <c r="F36" s="82"/>
      <c r="G36" s="166">
        <v>2030</v>
      </c>
      <c r="I36" s="209">
        <v>41130</v>
      </c>
      <c r="J36" s="418" t="str">
        <f>IF(Introduction!$E$7=1,"🌗",IF(Introduction!$E$7=2,"D","☾"))</f>
        <v>🌗</v>
      </c>
      <c r="L36" s="502">
        <f t="shared" si="1"/>
        <v>33</v>
      </c>
      <c r="M36" s="210">
        <v>2</v>
      </c>
      <c r="N36" s="210">
        <v>2</v>
      </c>
      <c r="O36" s="210" t="s">
        <v>87</v>
      </c>
      <c r="P36" s="210" t="str">
        <f>IF(Introduction!$E$7=1,CONCATENATE("🍻 ",O36),IF(Introduction!$E$7=2,CONCATENATE("Fêtons ",O36),CONCATENATE("✓ ",O36)))</f>
        <v>🍻 Théophane</v>
      </c>
      <c r="R36" s="381">
        <f t="shared" si="6"/>
        <v>44707</v>
      </c>
      <c r="S36" s="381">
        <f t="shared" si="6"/>
        <v>44707</v>
      </c>
      <c r="T36" s="381">
        <f t="shared" si="6"/>
        <v>44707</v>
      </c>
      <c r="U36" s="383"/>
      <c r="V36" s="383">
        <v>44707</v>
      </c>
      <c r="W36" s="383">
        <v>44707</v>
      </c>
      <c r="X36" s="383">
        <v>44707</v>
      </c>
      <c r="Y36" s="383">
        <v>47484</v>
      </c>
      <c r="Z36" s="383">
        <v>47484</v>
      </c>
      <c r="AA36" s="383">
        <v>47484</v>
      </c>
      <c r="AB36" s="383">
        <v>47484</v>
      </c>
      <c r="AC36" s="383">
        <v>47484</v>
      </c>
      <c r="AD36" s="383">
        <v>47484</v>
      </c>
      <c r="AE36" s="383">
        <v>47484</v>
      </c>
      <c r="AF36" s="383">
        <v>47484</v>
      </c>
      <c r="AG36" s="383">
        <v>47484</v>
      </c>
      <c r="AH36" s="383"/>
    </row>
    <row r="37" spans="2:34" x14ac:dyDescent="0.2">
      <c r="B37" s="17" t="s">
        <v>42</v>
      </c>
      <c r="C37" s="74" t="str">
        <f>D37</f>
        <v/>
      </c>
      <c r="D37" s="75" t="str">
        <f>IF(Pâques=H_Ete,Pâques,"")</f>
        <v/>
      </c>
      <c r="E37" s="76" t="s">
        <v>33</v>
      </c>
      <c r="F37" s="77" t="str">
        <f>IF(C37="","","F")</f>
        <v/>
      </c>
      <c r="I37" s="209">
        <v>41138</v>
      </c>
      <c r="J37" s="418" t="str">
        <f>IF(Introduction!$E$7=1,"🌑",IF(Introduction!$E$7=2,"N","⚉"))</f>
        <v>🌑</v>
      </c>
      <c r="L37" s="502">
        <f t="shared" si="1"/>
        <v>34</v>
      </c>
      <c r="M37" s="210">
        <v>3</v>
      </c>
      <c r="N37" s="210">
        <v>2</v>
      </c>
      <c r="O37" s="210" t="s">
        <v>88</v>
      </c>
      <c r="P37" s="210" t="str">
        <f>IF(Introduction!$E$7=1,CONCATENATE("🍻 ",O37),IF(Introduction!$E$7=2,CONCATENATE("Fêtons ",O37),CONCATENATE("✓ ",O37)))</f>
        <v>🍻 Blaise, Nelson, Oscar</v>
      </c>
      <c r="R37" s="381">
        <f t="shared" si="6"/>
        <v>44711</v>
      </c>
      <c r="S37" s="381">
        <f t="shared" si="6"/>
        <v>44711</v>
      </c>
      <c r="T37" s="381">
        <f t="shared" si="6"/>
        <v>44711</v>
      </c>
      <c r="U37" s="383"/>
      <c r="V37" s="383">
        <v>44711</v>
      </c>
      <c r="W37" s="383">
        <v>44711</v>
      </c>
      <c r="X37" s="383">
        <v>44711</v>
      </c>
      <c r="Y37" s="383">
        <v>47484</v>
      </c>
      <c r="Z37" s="383">
        <v>47484</v>
      </c>
      <c r="AA37" s="383">
        <v>47484</v>
      </c>
      <c r="AB37" s="383">
        <v>47484</v>
      </c>
      <c r="AC37" s="383">
        <v>47484</v>
      </c>
      <c r="AD37" s="383">
        <v>47484</v>
      </c>
      <c r="AE37" s="383">
        <v>47484</v>
      </c>
      <c r="AF37" s="383">
        <v>47484</v>
      </c>
      <c r="AG37" s="383">
        <v>47484</v>
      </c>
      <c r="AH37" s="383"/>
    </row>
    <row r="38" spans="2:34" x14ac:dyDescent="0.2">
      <c r="B38" s="9"/>
      <c r="C38" s="14" t="str">
        <f>D38</f>
        <v/>
      </c>
      <c r="D38" s="11" t="str">
        <f>IF(Paques_2=H_Ete_2,Paques_2,"")</f>
        <v/>
      </c>
      <c r="E38" s="61" t="s">
        <v>33</v>
      </c>
      <c r="F38" s="62" t="str">
        <f t="shared" ref="F38:F40" si="7">IF(C38="","","F")</f>
        <v/>
      </c>
      <c r="I38" s="209">
        <v>41145</v>
      </c>
      <c r="J38" s="418" t="str">
        <f>IF(Introduction!$E$7=1,"🌓",IF(Introduction!$E$7=2,"P","☽"))</f>
        <v>🌓</v>
      </c>
      <c r="L38" s="502">
        <f t="shared" si="1"/>
        <v>35</v>
      </c>
      <c r="M38" s="210">
        <v>4</v>
      </c>
      <c r="N38" s="210">
        <v>2</v>
      </c>
      <c r="O38" s="210" t="s">
        <v>89</v>
      </c>
      <c r="P38" s="210" t="str">
        <f>IF(Introduction!$E$7=1,CONCATENATE("🍻 ",O38),IF(Introduction!$E$7=2,CONCATENATE("Fêtons ",O38),CONCATENATE("✓ ",O38)))</f>
        <v>🍻 Véronique</v>
      </c>
      <c r="R38" s="381">
        <f t="shared" si="6"/>
        <v>44751</v>
      </c>
      <c r="S38" s="381">
        <f t="shared" si="6"/>
        <v>44751</v>
      </c>
      <c r="T38" s="381">
        <f t="shared" si="6"/>
        <v>44751</v>
      </c>
      <c r="U38" s="383"/>
      <c r="V38" s="383">
        <v>44751</v>
      </c>
      <c r="W38" s="383">
        <v>44751</v>
      </c>
      <c r="X38" s="383">
        <v>44751</v>
      </c>
      <c r="Y38" s="383">
        <v>47484</v>
      </c>
      <c r="Z38" s="383">
        <v>47484</v>
      </c>
      <c r="AA38" s="383">
        <v>47484</v>
      </c>
      <c r="AB38" s="383">
        <v>47484</v>
      </c>
      <c r="AC38" s="383">
        <v>47484</v>
      </c>
      <c r="AD38" s="383">
        <v>47484</v>
      </c>
      <c r="AE38" s="383">
        <v>47484</v>
      </c>
      <c r="AF38" s="383">
        <v>47484</v>
      </c>
      <c r="AG38" s="383">
        <v>47484</v>
      </c>
      <c r="AH38" s="383"/>
    </row>
    <row r="39" spans="2:34" x14ac:dyDescent="0.2">
      <c r="B39" s="9"/>
      <c r="C39" s="14" t="str">
        <f>D39</f>
        <v/>
      </c>
      <c r="D39" s="11" t="str">
        <f>IF(Ascension_1=Fete_Trav_1,Ascension_1,"")</f>
        <v/>
      </c>
      <c r="E39" s="12" t="s">
        <v>43</v>
      </c>
      <c r="F39" s="62" t="str">
        <f t="shared" si="7"/>
        <v/>
      </c>
      <c r="I39" s="209">
        <v>41152</v>
      </c>
      <c r="J39" s="418" t="str">
        <f>IF(Introduction!$E$7=1,"🌕",IF(Introduction!$E$7=2,"O","⚇"))</f>
        <v>🌕</v>
      </c>
      <c r="L39" s="502">
        <f t="shared" si="1"/>
        <v>36</v>
      </c>
      <c r="M39" s="210">
        <v>5</v>
      </c>
      <c r="N39" s="210">
        <v>2</v>
      </c>
      <c r="O39" s="210" t="s">
        <v>90</v>
      </c>
      <c r="P39" s="210" t="str">
        <f>IF(Introduction!$E$7=1,CONCATENATE("🍻 ",O39),IF(Introduction!$E$7=2,CONCATENATE("Fêtons ",O39),CONCATENATE("✓ ",O39)))</f>
        <v>🍻 Agathe</v>
      </c>
      <c r="R39" s="381">
        <f t="shared" si="6"/>
        <v>44805</v>
      </c>
      <c r="S39" s="381">
        <f t="shared" si="6"/>
        <v>44805</v>
      </c>
      <c r="T39" s="381">
        <f t="shared" si="6"/>
        <v>44805</v>
      </c>
      <c r="U39" s="383"/>
      <c r="V39" s="383">
        <v>44805</v>
      </c>
      <c r="W39" s="383">
        <v>44805</v>
      </c>
      <c r="X39" s="383">
        <v>44805</v>
      </c>
      <c r="Y39" s="383">
        <v>47484</v>
      </c>
      <c r="Z39" s="383">
        <v>47484</v>
      </c>
      <c r="AA39" s="383">
        <v>47484</v>
      </c>
      <c r="AB39" s="383">
        <v>47484</v>
      </c>
      <c r="AC39" s="383">
        <v>47484</v>
      </c>
      <c r="AD39" s="383">
        <v>47484</v>
      </c>
      <c r="AE39" s="383">
        <v>47484</v>
      </c>
      <c r="AF39" s="383">
        <v>47484</v>
      </c>
      <c r="AG39" s="383">
        <v>47484</v>
      </c>
      <c r="AH39" s="383"/>
    </row>
    <row r="40" spans="2:34" x14ac:dyDescent="0.2">
      <c r="B40" s="9"/>
      <c r="C40" s="14" t="str">
        <f>D40</f>
        <v/>
      </c>
      <c r="D40" s="11" t="str">
        <f>IF(Ascension_2=Fete_Trav_2,Ascension_2,"")</f>
        <v/>
      </c>
      <c r="E40" s="12" t="s">
        <v>43</v>
      </c>
      <c r="F40" s="62" t="str">
        <f t="shared" si="7"/>
        <v/>
      </c>
      <c r="I40" s="209">
        <v>41160</v>
      </c>
      <c r="J40" s="418" t="str">
        <f>IF(Introduction!$E$7=1,"🌗",IF(Introduction!$E$7=2,"D","☾"))</f>
        <v>🌗</v>
      </c>
      <c r="L40" s="502">
        <f t="shared" si="1"/>
        <v>37</v>
      </c>
      <c r="M40" s="210">
        <v>6</v>
      </c>
      <c r="N40" s="210">
        <v>2</v>
      </c>
      <c r="O40" s="210" t="s">
        <v>91</v>
      </c>
      <c r="P40" s="210" t="str">
        <f>IF(Introduction!$E$7=1,CONCATENATE("🍻 ",O40),IF(Introduction!$E$7=2,CONCATENATE("Fêtons ",O40),CONCATENATE("✓ ",O40)))</f>
        <v>🍻 Dorothée, Gaston</v>
      </c>
      <c r="R40" s="381">
        <f t="shared" si="6"/>
        <v>47484</v>
      </c>
      <c r="S40" s="381">
        <f t="shared" si="6"/>
        <v>47484</v>
      </c>
      <c r="T40" s="381">
        <f t="shared" si="6"/>
        <v>47484</v>
      </c>
      <c r="U40" s="383"/>
      <c r="V40" s="383">
        <v>47484</v>
      </c>
      <c r="W40" s="383">
        <v>47484</v>
      </c>
      <c r="X40" s="383">
        <v>47484</v>
      </c>
      <c r="Y40" s="383">
        <v>47484</v>
      </c>
      <c r="Z40" s="383">
        <v>47484</v>
      </c>
      <c r="AA40" s="383">
        <v>47484</v>
      </c>
      <c r="AB40" s="383">
        <v>47484</v>
      </c>
      <c r="AC40" s="383">
        <v>47484</v>
      </c>
      <c r="AD40" s="383">
        <v>47484</v>
      </c>
      <c r="AE40" s="383">
        <v>47484</v>
      </c>
      <c r="AF40" s="383">
        <v>47484</v>
      </c>
      <c r="AG40" s="383">
        <v>47484</v>
      </c>
      <c r="AH40" s="383"/>
    </row>
    <row r="41" spans="2:34" x14ac:dyDescent="0.2">
      <c r="B41" s="9"/>
      <c r="C41" s="14"/>
      <c r="D41" s="11"/>
      <c r="E41" s="61"/>
      <c r="F41" s="62"/>
      <c r="I41" s="209">
        <v>41168</v>
      </c>
      <c r="J41" s="418" t="str">
        <f>IF(Introduction!$E$7=1,"🌑",IF(Introduction!$E$7=2,"N","⚉"))</f>
        <v>🌑</v>
      </c>
      <c r="L41" s="502">
        <f t="shared" si="1"/>
        <v>38</v>
      </c>
      <c r="M41" s="210">
        <v>7</v>
      </c>
      <c r="N41" s="210">
        <v>2</v>
      </c>
      <c r="O41" s="210" t="s">
        <v>92</v>
      </c>
      <c r="P41" s="210" t="str">
        <f>IF(Introduction!$E$7=1,CONCATENATE("🍻 ",O41),IF(Introduction!$E$7=2,CONCATENATE("Fêtons ",O41),CONCATENATE("✓ ",O41)))</f>
        <v>🍻 Eugènie</v>
      </c>
      <c r="R41" s="381">
        <f t="shared" si="6"/>
        <v>47484</v>
      </c>
      <c r="S41" s="381">
        <f t="shared" si="6"/>
        <v>47484</v>
      </c>
      <c r="T41" s="381">
        <f t="shared" si="6"/>
        <v>47484</v>
      </c>
      <c r="U41" s="383"/>
      <c r="V41" s="383">
        <v>47484</v>
      </c>
      <c r="W41" s="383">
        <v>47484</v>
      </c>
      <c r="X41" s="383">
        <v>47484</v>
      </c>
      <c r="Y41" s="383">
        <v>47484</v>
      </c>
      <c r="Z41" s="383">
        <v>47484</v>
      </c>
      <c r="AA41" s="383">
        <v>47484</v>
      </c>
      <c r="AB41" s="383">
        <v>47484</v>
      </c>
      <c r="AC41" s="383">
        <v>47484</v>
      </c>
      <c r="AD41" s="383">
        <v>47484</v>
      </c>
      <c r="AE41" s="383">
        <v>47484</v>
      </c>
      <c r="AF41" s="383">
        <v>47484</v>
      </c>
      <c r="AG41" s="383">
        <v>47484</v>
      </c>
      <c r="AH41" s="383"/>
    </row>
    <row r="42" spans="2:34" ht="17" thickBot="1" x14ac:dyDescent="0.25">
      <c r="B42" s="9"/>
      <c r="C42" s="15"/>
      <c r="D42" s="16"/>
      <c r="E42" s="86"/>
      <c r="F42" s="82"/>
      <c r="I42" s="209">
        <v>41174</v>
      </c>
      <c r="J42" s="418" t="str">
        <f>IF(Introduction!$E$7=1,"🌓",IF(Introduction!$E$7=2,"P","☽"))</f>
        <v>🌓</v>
      </c>
      <c r="L42" s="502">
        <f t="shared" si="1"/>
        <v>39</v>
      </c>
      <c r="M42" s="210">
        <v>8</v>
      </c>
      <c r="N42" s="210">
        <v>2</v>
      </c>
      <c r="O42" s="210" t="s">
        <v>93</v>
      </c>
      <c r="P42" s="210" t="str">
        <f>IF(Introduction!$E$7=1,CONCATENATE("🍻 ",O42),IF(Introduction!$E$7=2,CONCATENATE("Fêtons ",O42),CONCATENATE("✓ ",O42)))</f>
        <v>🍻 Jacqueline</v>
      </c>
      <c r="R42" s="381">
        <f t="shared" si="6"/>
        <v>47484</v>
      </c>
      <c r="S42" s="381">
        <f t="shared" si="6"/>
        <v>47484</v>
      </c>
      <c r="T42" s="381">
        <f t="shared" si="6"/>
        <v>47484</v>
      </c>
      <c r="U42" s="383"/>
      <c r="V42" s="383">
        <v>47484</v>
      </c>
      <c r="W42" s="383">
        <v>47484</v>
      </c>
      <c r="X42" s="383">
        <v>47484</v>
      </c>
      <c r="Y42" s="383">
        <v>47484</v>
      </c>
      <c r="Z42" s="383">
        <v>47484</v>
      </c>
      <c r="AA42" s="383">
        <v>47484</v>
      </c>
      <c r="AB42" s="383">
        <v>47484</v>
      </c>
      <c r="AC42" s="383">
        <v>47484</v>
      </c>
      <c r="AD42" s="383">
        <v>47484</v>
      </c>
      <c r="AE42" s="383">
        <v>47484</v>
      </c>
      <c r="AF42" s="383">
        <v>47484</v>
      </c>
      <c r="AG42" s="383">
        <v>47484</v>
      </c>
      <c r="AH42" s="383"/>
    </row>
    <row r="43" spans="2:34" x14ac:dyDescent="0.2">
      <c r="B43" s="17" t="s">
        <v>24</v>
      </c>
      <c r="C43" s="83" t="str">
        <f t="shared" ref="C43:C77" si="8">IF(D43="","",IF(MONTH(D43)&gt;=$D$3,DATE(Ref_Annee,MONTH(D43),DAY(D43)),DATE(Ref_Annee+1,MONTH(D43),DAY(D43))))</f>
        <v/>
      </c>
      <c r="D43" s="84" t="str">
        <f>IF(Introduction!G61="","",Introduction!G61)</f>
        <v/>
      </c>
      <c r="E43" s="87" t="str">
        <f>IF(Introduction!H61="","",Introduction!H61)</f>
        <v/>
      </c>
      <c r="F43" s="85"/>
      <c r="I43" s="209">
        <v>41182</v>
      </c>
      <c r="J43" s="418" t="str">
        <f>IF(Introduction!$E$7=1,"🌕",IF(Introduction!$E$7=2,"O","⚇"))</f>
        <v>🌕</v>
      </c>
      <c r="L43" s="502">
        <f t="shared" si="1"/>
        <v>40</v>
      </c>
      <c r="M43" s="210">
        <v>9</v>
      </c>
      <c r="N43" s="210">
        <v>2</v>
      </c>
      <c r="O43" s="210" t="s">
        <v>94</v>
      </c>
      <c r="P43" s="210" t="str">
        <f>IF(Introduction!$E$7=1,CONCATENATE("🍻 ",O43),IF(Introduction!$E$7=2,CONCATENATE("Fêtons ",O43),CONCATENATE("✓ ",O43)))</f>
        <v>🍻 Apolline</v>
      </c>
      <c r="R43" s="381">
        <f t="shared" si="6"/>
        <v>47484</v>
      </c>
      <c r="S43" s="381">
        <f t="shared" si="6"/>
        <v>47484</v>
      </c>
      <c r="T43" s="381">
        <f t="shared" si="6"/>
        <v>47484</v>
      </c>
      <c r="U43" s="383"/>
      <c r="V43" s="383">
        <v>47484</v>
      </c>
      <c r="W43" s="383">
        <v>47484</v>
      </c>
      <c r="X43" s="383">
        <v>47484</v>
      </c>
      <c r="Y43" s="383">
        <v>47484</v>
      </c>
      <c r="Z43" s="383">
        <v>47484</v>
      </c>
      <c r="AA43" s="383">
        <v>47484</v>
      </c>
      <c r="AB43" s="383">
        <v>47484</v>
      </c>
      <c r="AC43" s="383">
        <v>47484</v>
      </c>
      <c r="AD43" s="383">
        <v>47484</v>
      </c>
      <c r="AE43" s="383">
        <v>47484</v>
      </c>
      <c r="AF43" s="383">
        <v>47484</v>
      </c>
      <c r="AG43" s="383">
        <v>47484</v>
      </c>
      <c r="AH43" s="383"/>
    </row>
    <row r="44" spans="2:34" x14ac:dyDescent="0.2">
      <c r="B44" s="9"/>
      <c r="C44" s="10">
        <f t="shared" si="8"/>
        <v>44275</v>
      </c>
      <c r="D44" s="11">
        <f>IF(Introduction!G62="","",Introduction!G62)</f>
        <v>44275.442673611113</v>
      </c>
      <c r="E44" s="89" t="str">
        <f>IF(Introduction!H62="","",Introduction!H62)</f>
        <v>📅 Printemps</v>
      </c>
      <c r="F44" s="62" t="s">
        <v>516</v>
      </c>
      <c r="I44" s="209">
        <v>41190</v>
      </c>
      <c r="J44" s="418" t="str">
        <f>IF(Introduction!$E$7=1,"🌗",IF(Introduction!$E$7=2,"D","☾"))</f>
        <v>🌗</v>
      </c>
      <c r="L44" s="502">
        <f t="shared" si="1"/>
        <v>41</v>
      </c>
      <c r="M44" s="210">
        <v>10</v>
      </c>
      <c r="N44" s="210">
        <v>2</v>
      </c>
      <c r="O44" s="210" t="s">
        <v>95</v>
      </c>
      <c r="P44" s="210" t="str">
        <f>IF(Introduction!$E$7=1,CONCATENATE("🍻 ",O44),IF(Introduction!$E$7=2,CONCATENATE("Fêtons ",O44),CONCATENATE("✓ ",O44)))</f>
        <v>🍻 Arnaud</v>
      </c>
      <c r="R44" s="381">
        <f t="shared" ref="R44:T63" si="9">INDEX($U44:$AH44,1,MATCH(R$3,$U$3:$AH$3,0))</f>
        <v>47484</v>
      </c>
      <c r="S44" s="381">
        <f t="shared" si="9"/>
        <v>47484</v>
      </c>
      <c r="T44" s="381">
        <f t="shared" si="9"/>
        <v>47484</v>
      </c>
      <c r="U44" s="383"/>
      <c r="V44" s="383">
        <v>47484</v>
      </c>
      <c r="W44" s="383">
        <v>47484</v>
      </c>
      <c r="X44" s="383">
        <v>47484</v>
      </c>
      <c r="Y44" s="383">
        <v>47484</v>
      </c>
      <c r="Z44" s="383">
        <v>47484</v>
      </c>
      <c r="AA44" s="383">
        <v>47484</v>
      </c>
      <c r="AB44" s="383">
        <v>47484</v>
      </c>
      <c r="AC44" s="383">
        <v>47484</v>
      </c>
      <c r="AD44" s="383">
        <v>47484</v>
      </c>
      <c r="AE44" s="383">
        <v>47484</v>
      </c>
      <c r="AF44" s="383">
        <v>47484</v>
      </c>
      <c r="AG44" s="383">
        <v>47484</v>
      </c>
      <c r="AH44" s="383"/>
    </row>
    <row r="45" spans="2:34" x14ac:dyDescent="0.2">
      <c r="B45" s="9"/>
      <c r="C45" s="10">
        <f t="shared" si="8"/>
        <v>44368</v>
      </c>
      <c r="D45" s="11">
        <f>IF(Introduction!G63="","",Introduction!G63)</f>
        <v>44368.23064814815</v>
      </c>
      <c r="E45" s="89" t="str">
        <f>IF(Introduction!H63="","",Introduction!H63)</f>
        <v>📅 Été</v>
      </c>
      <c r="F45" s="333" t="s">
        <v>53</v>
      </c>
      <c r="I45" s="209">
        <v>41197</v>
      </c>
      <c r="J45" s="418" t="str">
        <f>IF(Introduction!$E$7=1,"🌑",IF(Introduction!$E$7=2,"N","⚉"))</f>
        <v>🌑</v>
      </c>
      <c r="L45" s="502">
        <f t="shared" si="1"/>
        <v>42</v>
      </c>
      <c r="M45" s="210">
        <v>11</v>
      </c>
      <c r="N45" s="210">
        <v>2</v>
      </c>
      <c r="O45" s="210" t="s">
        <v>96</v>
      </c>
      <c r="P45" s="210" t="str">
        <f>IF(Introduction!$E$7=1,CONCATENATE("🍻 ",O45),IF(Introduction!$E$7=2,CONCATENATE("Fêtons ",O45),CONCATENATE("✓ ",O45)))</f>
        <v>🍻 Adolphe</v>
      </c>
      <c r="R45" s="381">
        <f t="shared" si="9"/>
        <v>47484</v>
      </c>
      <c r="S45" s="381">
        <f t="shared" si="9"/>
        <v>47484</v>
      </c>
      <c r="T45" s="381">
        <f t="shared" si="9"/>
        <v>47484</v>
      </c>
      <c r="U45" s="383"/>
      <c r="V45" s="383">
        <v>47484</v>
      </c>
      <c r="W45" s="383">
        <v>47484</v>
      </c>
      <c r="X45" s="383">
        <v>47484</v>
      </c>
      <c r="Y45" s="383">
        <v>47484</v>
      </c>
      <c r="Z45" s="383">
        <v>47484</v>
      </c>
      <c r="AA45" s="383">
        <v>47484</v>
      </c>
      <c r="AB45" s="383">
        <v>47484</v>
      </c>
      <c r="AC45" s="383">
        <v>47484</v>
      </c>
      <c r="AD45" s="383">
        <v>47484</v>
      </c>
      <c r="AE45" s="383">
        <v>47484</v>
      </c>
      <c r="AF45" s="383">
        <v>47484</v>
      </c>
      <c r="AG45" s="383">
        <v>47484</v>
      </c>
      <c r="AH45" s="383"/>
    </row>
    <row r="46" spans="2:34" x14ac:dyDescent="0.2">
      <c r="B46" s="9"/>
      <c r="C46" s="10">
        <f t="shared" si="8"/>
        <v>44461</v>
      </c>
      <c r="D46" s="11">
        <f>IF(Introduction!G64="","",Introduction!G64)</f>
        <v>44461.889618055553</v>
      </c>
      <c r="E46" s="89" t="str">
        <f>IF(Introduction!H64="","",Introduction!H64)</f>
        <v>📅 Automne</v>
      </c>
      <c r="F46" s="333" t="s">
        <v>53</v>
      </c>
      <c r="I46" s="209">
        <v>41204</v>
      </c>
      <c r="J46" s="418" t="str">
        <f>IF(Introduction!$E$7=1,"🌓",IF(Introduction!$E$7=2,"P","☽"))</f>
        <v>🌓</v>
      </c>
      <c r="L46" s="502">
        <f t="shared" si="1"/>
        <v>43</v>
      </c>
      <c r="M46" s="210">
        <v>12</v>
      </c>
      <c r="N46" s="210">
        <v>2</v>
      </c>
      <c r="O46" s="210" t="s">
        <v>97</v>
      </c>
      <c r="P46" s="210" t="str">
        <f>IF(Introduction!$E$7=1,CONCATENATE("🍻 ",O46),IF(Introduction!$E$7=2,CONCATENATE("Fêtons ",O46),CONCATENATE("✓ ",O46)))</f>
        <v>🍻 Eulalie, Félix</v>
      </c>
      <c r="R46" s="381">
        <f t="shared" si="9"/>
        <v>47484</v>
      </c>
      <c r="S46" s="381">
        <f t="shared" si="9"/>
        <v>47484</v>
      </c>
      <c r="T46" s="381">
        <f t="shared" si="9"/>
        <v>47484</v>
      </c>
      <c r="U46" s="383"/>
      <c r="V46" s="383">
        <v>47484</v>
      </c>
      <c r="W46" s="383">
        <v>47484</v>
      </c>
      <c r="X46" s="383">
        <v>47484</v>
      </c>
      <c r="Y46" s="383">
        <v>47484</v>
      </c>
      <c r="Z46" s="383">
        <v>47484</v>
      </c>
      <c r="AA46" s="383">
        <v>47484</v>
      </c>
      <c r="AB46" s="383">
        <v>47484</v>
      </c>
      <c r="AC46" s="383">
        <v>47484</v>
      </c>
      <c r="AD46" s="383">
        <v>47484</v>
      </c>
      <c r="AE46" s="383">
        <v>47484</v>
      </c>
      <c r="AF46" s="383">
        <v>47484</v>
      </c>
      <c r="AG46" s="383">
        <v>47484</v>
      </c>
      <c r="AH46" s="383"/>
    </row>
    <row r="47" spans="2:34" x14ac:dyDescent="0.2">
      <c r="B47" s="9"/>
      <c r="C47" s="10">
        <f t="shared" si="8"/>
        <v>44551</v>
      </c>
      <c r="D47" s="11">
        <f>IF(Introduction!G65="","",Introduction!G65)</f>
        <v>44551.707824074074</v>
      </c>
      <c r="E47" s="89" t="str">
        <f>IF(Introduction!H65="","",Introduction!H65)</f>
        <v>📅 Hiver</v>
      </c>
      <c r="F47" s="333" t="s">
        <v>53</v>
      </c>
      <c r="I47" s="209">
        <v>41211</v>
      </c>
      <c r="J47" s="418" t="str">
        <f>IF(Introduction!$E$7=1,"🌕",IF(Introduction!$E$7=2,"O","⚇"))</f>
        <v>🌕</v>
      </c>
      <c r="L47" s="502">
        <f t="shared" si="1"/>
        <v>44</v>
      </c>
      <c r="M47" s="210">
        <v>13</v>
      </c>
      <c r="N47" s="210">
        <v>2</v>
      </c>
      <c r="O47" s="210" t="s">
        <v>98</v>
      </c>
      <c r="P47" s="210" t="str">
        <f>IF(Introduction!$E$7=1,CONCATENATE("🍻 ",O47),IF(Introduction!$E$7=2,CONCATENATE("Fêtons ",O47),CONCATENATE("✓ ",O47)))</f>
        <v>🍻 Béatrice</v>
      </c>
      <c r="R47" s="381">
        <f t="shared" si="9"/>
        <v>47484</v>
      </c>
      <c r="S47" s="381">
        <f t="shared" si="9"/>
        <v>47484</v>
      </c>
      <c r="T47" s="381">
        <f t="shared" si="9"/>
        <v>47484</v>
      </c>
      <c r="U47" s="383"/>
      <c r="V47" s="383">
        <v>47484</v>
      </c>
      <c r="W47" s="383">
        <v>47484</v>
      </c>
      <c r="X47" s="383">
        <v>47484</v>
      </c>
      <c r="Y47" s="383">
        <v>47484</v>
      </c>
      <c r="Z47" s="383">
        <v>47484</v>
      </c>
      <c r="AA47" s="383">
        <v>47484</v>
      </c>
      <c r="AB47" s="383">
        <v>47484</v>
      </c>
      <c r="AC47" s="383">
        <v>47484</v>
      </c>
      <c r="AD47" s="383">
        <v>47484</v>
      </c>
      <c r="AE47" s="383">
        <v>47484</v>
      </c>
      <c r="AF47" s="383">
        <v>47484</v>
      </c>
      <c r="AG47" s="383">
        <v>47484</v>
      </c>
      <c r="AH47" s="383"/>
    </row>
    <row r="48" spans="2:34" x14ac:dyDescent="0.2">
      <c r="B48" s="9"/>
      <c r="C48" s="10">
        <f t="shared" si="8"/>
        <v>44518</v>
      </c>
      <c r="D48" s="11">
        <f>IF(Introduction!G66="","",Introduction!G66)</f>
        <v>44518</v>
      </c>
      <c r="E48" s="89" t="str">
        <f>IF(Introduction!H66="","",Introduction!H66)</f>
        <v>🍾 Beaujolais nouveau</v>
      </c>
      <c r="F48" s="62"/>
      <c r="I48" s="209">
        <v>41220</v>
      </c>
      <c r="J48" s="418" t="str">
        <f>IF(Introduction!$E$7=1,"🌗",IF(Introduction!$E$7=2,"D","☾"))</f>
        <v>🌗</v>
      </c>
      <c r="L48" s="502">
        <f t="shared" si="1"/>
        <v>45</v>
      </c>
      <c r="M48" s="210">
        <v>14</v>
      </c>
      <c r="N48" s="210">
        <v>2</v>
      </c>
      <c r="O48" s="210" t="s">
        <v>99</v>
      </c>
      <c r="P48" s="210" t="str">
        <f>IF(Introduction!$E$7=1,CONCATENATE("🍻 ",O48),IF(Introduction!$E$7=2,CONCATENATE("Fêtons ",O48),CONCATENATE("✓ ",O48)))</f>
        <v>🍻 Valentin</v>
      </c>
      <c r="R48" s="381">
        <f t="shared" si="9"/>
        <v>47484</v>
      </c>
      <c r="S48" s="381">
        <f t="shared" si="9"/>
        <v>47484</v>
      </c>
      <c r="T48" s="381">
        <f t="shared" si="9"/>
        <v>47484</v>
      </c>
      <c r="U48" s="383"/>
      <c r="V48" s="383">
        <v>47484</v>
      </c>
      <c r="W48" s="383">
        <v>47484</v>
      </c>
      <c r="X48" s="383">
        <v>47484</v>
      </c>
      <c r="Y48" s="383">
        <v>47484</v>
      </c>
      <c r="Z48" s="383">
        <v>47484</v>
      </c>
      <c r="AA48" s="383">
        <v>47484</v>
      </c>
      <c r="AB48" s="383">
        <v>47484</v>
      </c>
      <c r="AC48" s="383">
        <v>47484</v>
      </c>
      <c r="AD48" s="383">
        <v>47484</v>
      </c>
      <c r="AE48" s="383">
        <v>47484</v>
      </c>
      <c r="AF48" s="383">
        <v>47484</v>
      </c>
      <c r="AG48" s="383">
        <v>47484</v>
      </c>
      <c r="AH48" s="383"/>
    </row>
    <row r="49" spans="2:34" x14ac:dyDescent="0.2">
      <c r="B49" s="9"/>
      <c r="C49" s="10">
        <f t="shared" si="8"/>
        <v>44327</v>
      </c>
      <c r="D49" s="11">
        <f>IF(Introduction!G67="","",Introduction!G67)</f>
        <v>44327</v>
      </c>
      <c r="E49" s="89" t="str">
        <f>IF(Introduction!H67="","",Introduction!H67)</f>
        <v>🌡St de glace (Mamert)</v>
      </c>
      <c r="F49" s="62"/>
      <c r="I49" s="209">
        <v>41226</v>
      </c>
      <c r="J49" s="418" t="str">
        <f>IF(Introduction!$E$7=1,"🌑",IF(Introduction!$E$7=2,"N","⚉"))</f>
        <v>🌑</v>
      </c>
      <c r="L49" s="502">
        <f t="shared" si="1"/>
        <v>46</v>
      </c>
      <c r="M49" s="210">
        <v>15</v>
      </c>
      <c r="N49" s="210">
        <v>2</v>
      </c>
      <c r="O49" s="210" t="s">
        <v>100</v>
      </c>
      <c r="P49" s="210" t="str">
        <f>IF(Introduction!$E$7=1,CONCATENATE("🍻 ",O49),IF(Introduction!$E$7=2,CONCATENATE("Fêtons ",O49),CONCATENATE("✓ ",O49)))</f>
        <v>🍻 Claude, Georgina, Jordan</v>
      </c>
      <c r="R49" s="381">
        <f t="shared" si="9"/>
        <v>47484</v>
      </c>
      <c r="S49" s="381">
        <f t="shared" si="9"/>
        <v>47484</v>
      </c>
      <c r="T49" s="381">
        <f t="shared" si="9"/>
        <v>47484</v>
      </c>
      <c r="U49" s="383"/>
      <c r="V49" s="383">
        <v>47484</v>
      </c>
      <c r="W49" s="383">
        <v>47484</v>
      </c>
      <c r="X49" s="383">
        <v>47484</v>
      </c>
      <c r="Y49" s="383">
        <v>47484</v>
      </c>
      <c r="Z49" s="383">
        <v>47484</v>
      </c>
      <c r="AA49" s="383">
        <v>47484</v>
      </c>
      <c r="AB49" s="383">
        <v>47484</v>
      </c>
      <c r="AC49" s="383">
        <v>47484</v>
      </c>
      <c r="AD49" s="383">
        <v>47484</v>
      </c>
      <c r="AE49" s="383">
        <v>47484</v>
      </c>
      <c r="AF49" s="383">
        <v>47484</v>
      </c>
      <c r="AG49" s="383">
        <v>47484</v>
      </c>
      <c r="AH49" s="383"/>
    </row>
    <row r="50" spans="2:34" x14ac:dyDescent="0.2">
      <c r="B50" s="9"/>
      <c r="C50" s="10">
        <f t="shared" si="8"/>
        <v>44328</v>
      </c>
      <c r="D50" s="11">
        <f>IF(Introduction!G68="","",Introduction!G68)</f>
        <v>44328</v>
      </c>
      <c r="E50" s="89" t="str">
        <f>IF(Introduction!H68="","",Introduction!H68)</f>
        <v>🌡St de glace (Pancrace)</v>
      </c>
      <c r="F50" s="62"/>
      <c r="I50" s="209">
        <v>41233</v>
      </c>
      <c r="J50" s="418" t="str">
        <f>IF(Introduction!$E$7=1,"🌓",IF(Introduction!$E$7=2,"P","☽"))</f>
        <v>🌓</v>
      </c>
      <c r="L50" s="502">
        <f t="shared" si="1"/>
        <v>47</v>
      </c>
      <c r="M50" s="210">
        <v>16</v>
      </c>
      <c r="N50" s="210">
        <v>2</v>
      </c>
      <c r="O50" s="210" t="s">
        <v>101</v>
      </c>
      <c r="P50" s="210" t="str">
        <f>IF(Introduction!$E$7=1,CONCATENATE("🍻 ",O50),IF(Introduction!$E$7=2,CONCATENATE("Fêtons ",O50),CONCATENATE("✓ ",O50)))</f>
        <v>🍻 Julienne, Lucile, Onésime</v>
      </c>
      <c r="R50" s="381">
        <f t="shared" si="9"/>
        <v>47484</v>
      </c>
      <c r="S50" s="381">
        <f t="shared" si="9"/>
        <v>47484</v>
      </c>
      <c r="T50" s="381">
        <f t="shared" si="9"/>
        <v>47484</v>
      </c>
      <c r="U50" s="383"/>
      <c r="V50" s="383">
        <v>47484</v>
      </c>
      <c r="W50" s="383">
        <v>47484</v>
      </c>
      <c r="X50" s="383">
        <v>47484</v>
      </c>
      <c r="Y50" s="383">
        <v>47484</v>
      </c>
      <c r="Z50" s="383">
        <v>47484</v>
      </c>
      <c r="AA50" s="383">
        <v>47484</v>
      </c>
      <c r="AB50" s="383">
        <v>47484</v>
      </c>
      <c r="AC50" s="383">
        <v>47484</v>
      </c>
      <c r="AD50" s="383">
        <v>47484</v>
      </c>
      <c r="AE50" s="383">
        <v>47484</v>
      </c>
      <c r="AF50" s="383">
        <v>47484</v>
      </c>
      <c r="AG50" s="383">
        <v>47484</v>
      </c>
      <c r="AH50" s="383"/>
    </row>
    <row r="51" spans="2:34" x14ac:dyDescent="0.2">
      <c r="B51" s="9"/>
      <c r="C51" s="10">
        <f t="shared" si="8"/>
        <v>44329</v>
      </c>
      <c r="D51" s="11">
        <f>IF(Introduction!G69="","",Introduction!G69)</f>
        <v>44329</v>
      </c>
      <c r="E51" s="89" t="str">
        <f>IF(Introduction!H69="","",Introduction!H69)</f>
        <v>🌡St de glace (Servais)</v>
      </c>
      <c r="F51" s="62"/>
      <c r="I51" s="209">
        <v>41241</v>
      </c>
      <c r="J51" s="418" t="str">
        <f>IF(Introduction!$E$7=1,"🌕",IF(Introduction!$E$7=2,"O","⚇"))</f>
        <v>🌕</v>
      </c>
      <c r="L51" s="502">
        <f t="shared" si="1"/>
        <v>48</v>
      </c>
      <c r="M51" s="210">
        <v>17</v>
      </c>
      <c r="N51" s="210">
        <v>2</v>
      </c>
      <c r="O51" s="210" t="s">
        <v>102</v>
      </c>
      <c r="P51" s="210" t="str">
        <f>IF(Introduction!$E$7=1,CONCATENATE("🍻 ",O51),IF(Introduction!$E$7=2,CONCATENATE("Fêtons ",O51),CONCATENATE("✓ ",O51)))</f>
        <v>🍻 Alexis</v>
      </c>
      <c r="R51" s="381">
        <f t="shared" si="9"/>
        <v>47484</v>
      </c>
      <c r="S51" s="381">
        <f t="shared" si="9"/>
        <v>47484</v>
      </c>
      <c r="T51" s="381">
        <f t="shared" si="9"/>
        <v>47484</v>
      </c>
      <c r="U51" s="383"/>
      <c r="V51" s="383">
        <v>47484</v>
      </c>
      <c r="W51" s="383">
        <v>47484</v>
      </c>
      <c r="X51" s="383">
        <v>47484</v>
      </c>
      <c r="Y51" s="383">
        <v>47484</v>
      </c>
      <c r="Z51" s="383">
        <v>47484</v>
      </c>
      <c r="AA51" s="383">
        <v>47484</v>
      </c>
      <c r="AB51" s="383">
        <v>47484</v>
      </c>
      <c r="AC51" s="383">
        <v>47484</v>
      </c>
      <c r="AD51" s="383">
        <v>47484</v>
      </c>
      <c r="AE51" s="383">
        <v>47484</v>
      </c>
      <c r="AF51" s="383">
        <v>47484</v>
      </c>
      <c r="AG51" s="383">
        <v>47484</v>
      </c>
      <c r="AH51" s="383"/>
    </row>
    <row r="52" spans="2:34" x14ac:dyDescent="0.2">
      <c r="B52" s="9"/>
      <c r="C52" s="10" t="str">
        <f t="shared" si="8"/>
        <v/>
      </c>
      <c r="D52" s="11" t="str">
        <f>IF(Introduction!G70="","",Introduction!G70)</f>
        <v/>
      </c>
      <c r="E52" s="89" t="str">
        <f>IF(Introduction!H70="","",Introduction!H70)</f>
        <v/>
      </c>
      <c r="F52" s="62"/>
      <c r="I52" s="209">
        <v>41249</v>
      </c>
      <c r="J52" s="418" t="str">
        <f>IF(Introduction!$E$7=1,"🌗",IF(Introduction!$E$7=2,"D","☾"))</f>
        <v>🌗</v>
      </c>
      <c r="L52" s="502">
        <f t="shared" si="1"/>
        <v>49</v>
      </c>
      <c r="M52" s="210">
        <v>18</v>
      </c>
      <c r="N52" s="210">
        <v>2</v>
      </c>
      <c r="O52" s="210" t="s">
        <v>103</v>
      </c>
      <c r="P52" s="210" t="str">
        <f>IF(Introduction!$E$7=1,CONCATENATE("🍻 ",O52),IF(Introduction!$E$7=2,CONCATENATE("Fêtons ",O52),CONCATENATE("✓ ",O52)))</f>
        <v>🍻 Bernadette</v>
      </c>
      <c r="R52" s="381">
        <f t="shared" si="9"/>
        <v>47484</v>
      </c>
      <c r="S52" s="381">
        <f t="shared" si="9"/>
        <v>47484</v>
      </c>
      <c r="T52" s="381">
        <f t="shared" si="9"/>
        <v>47484</v>
      </c>
      <c r="U52" s="383"/>
      <c r="V52" s="383">
        <v>47484</v>
      </c>
      <c r="W52" s="383">
        <v>47484</v>
      </c>
      <c r="X52" s="383">
        <v>47484</v>
      </c>
      <c r="Y52" s="383">
        <v>47484</v>
      </c>
      <c r="Z52" s="383">
        <v>47484</v>
      </c>
      <c r="AA52" s="383">
        <v>47484</v>
      </c>
      <c r="AB52" s="383">
        <v>47484</v>
      </c>
      <c r="AC52" s="383">
        <v>47484</v>
      </c>
      <c r="AD52" s="383">
        <v>47484</v>
      </c>
      <c r="AE52" s="383">
        <v>47484</v>
      </c>
      <c r="AF52" s="383">
        <v>47484</v>
      </c>
      <c r="AG52" s="383">
        <v>47484</v>
      </c>
      <c r="AH52" s="383"/>
    </row>
    <row r="53" spans="2:34" x14ac:dyDescent="0.2">
      <c r="B53" s="9"/>
      <c r="C53" s="10" t="str">
        <f t="shared" si="8"/>
        <v/>
      </c>
      <c r="D53" s="11" t="str">
        <f>IF(Introduction!G71="","",Introduction!G71)</f>
        <v/>
      </c>
      <c r="E53" s="89" t="str">
        <f>IF(Introduction!H71="","",Introduction!H71)</f>
        <v/>
      </c>
      <c r="F53" s="62"/>
      <c r="I53" s="209">
        <v>41256</v>
      </c>
      <c r="J53" s="418" t="str">
        <f>IF(Introduction!$E$7=1,"🌑",IF(Introduction!$E$7=2,"N","⚉"))</f>
        <v>🌑</v>
      </c>
      <c r="L53" s="502">
        <f t="shared" si="1"/>
        <v>50</v>
      </c>
      <c r="M53" s="210">
        <v>19</v>
      </c>
      <c r="N53" s="210">
        <v>2</v>
      </c>
      <c r="O53" s="210" t="s">
        <v>104</v>
      </c>
      <c r="P53" s="210" t="str">
        <f>IF(Introduction!$E$7=1,CONCATENATE("🍻 ",O53),IF(Introduction!$E$7=2,CONCATENATE("Fêtons ",O53),CONCATENATE("✓ ",O53)))</f>
        <v>🍻 Gabin</v>
      </c>
      <c r="R53" s="381">
        <f t="shared" si="9"/>
        <v>47484</v>
      </c>
      <c r="S53" s="381">
        <f t="shared" si="9"/>
        <v>47484</v>
      </c>
      <c r="T53" s="381">
        <f t="shared" si="9"/>
        <v>47484</v>
      </c>
      <c r="U53" s="383"/>
      <c r="V53" s="383">
        <v>47484</v>
      </c>
      <c r="W53" s="383">
        <v>47484</v>
      </c>
      <c r="X53" s="383">
        <v>47484</v>
      </c>
      <c r="Y53" s="383">
        <v>47484</v>
      </c>
      <c r="Z53" s="383">
        <v>47484</v>
      </c>
      <c r="AA53" s="383">
        <v>47484</v>
      </c>
      <c r="AB53" s="383">
        <v>47484</v>
      </c>
      <c r="AC53" s="383">
        <v>47484</v>
      </c>
      <c r="AD53" s="383">
        <v>47484</v>
      </c>
      <c r="AE53" s="383">
        <v>47484</v>
      </c>
      <c r="AF53" s="383">
        <v>47484</v>
      </c>
      <c r="AG53" s="383">
        <v>47484</v>
      </c>
      <c r="AH53" s="383"/>
    </row>
    <row r="54" spans="2:34" x14ac:dyDescent="0.2">
      <c r="B54" s="9"/>
      <c r="C54" s="10" t="str">
        <f t="shared" si="8"/>
        <v/>
      </c>
      <c r="D54" s="11" t="str">
        <f>IF(Introduction!G72="","",Introduction!G72)</f>
        <v/>
      </c>
      <c r="E54" s="89" t="str">
        <f>IF(Introduction!H72="","",Introduction!H72)</f>
        <v/>
      </c>
      <c r="F54" s="62"/>
      <c r="I54" s="209">
        <v>41263</v>
      </c>
      <c r="J54" s="418" t="str">
        <f>IF(Introduction!$E$7=1,"🌓",IF(Introduction!$E$7=2,"P","☽"))</f>
        <v>🌓</v>
      </c>
      <c r="L54" s="502">
        <f t="shared" si="1"/>
        <v>51</v>
      </c>
      <c r="M54" s="210">
        <v>20</v>
      </c>
      <c r="N54" s="210">
        <v>2</v>
      </c>
      <c r="O54" s="210" t="s">
        <v>105</v>
      </c>
      <c r="P54" s="210" t="str">
        <f>IF(Introduction!$E$7=1,CONCATENATE("🍻 ",O54),IF(Introduction!$E$7=2,CONCATENATE("Fêtons ",O54),CONCATENATE("✓ ",O54)))</f>
        <v>🍻 Aimée</v>
      </c>
      <c r="R54" s="381">
        <f t="shared" si="9"/>
        <v>47484</v>
      </c>
      <c r="S54" s="381">
        <f t="shared" si="9"/>
        <v>47484</v>
      </c>
      <c r="T54" s="381">
        <f t="shared" si="9"/>
        <v>47484</v>
      </c>
      <c r="U54" s="384"/>
      <c r="V54" s="383">
        <v>47484</v>
      </c>
      <c r="W54" s="383">
        <v>47484</v>
      </c>
      <c r="X54" s="383">
        <v>47484</v>
      </c>
      <c r="Y54" s="383">
        <v>47484</v>
      </c>
      <c r="Z54" s="383">
        <v>47484</v>
      </c>
      <c r="AA54" s="383">
        <v>47484</v>
      </c>
      <c r="AB54" s="383">
        <v>47484</v>
      </c>
      <c r="AC54" s="383">
        <v>47484</v>
      </c>
      <c r="AD54" s="383">
        <v>47484</v>
      </c>
      <c r="AE54" s="383">
        <v>47484</v>
      </c>
      <c r="AF54" s="383">
        <v>47484</v>
      </c>
      <c r="AG54" s="383">
        <v>47484</v>
      </c>
      <c r="AH54" s="383"/>
    </row>
    <row r="55" spans="2:34" x14ac:dyDescent="0.2">
      <c r="B55" s="9"/>
      <c r="C55" s="10" t="str">
        <f t="shared" si="8"/>
        <v/>
      </c>
      <c r="D55" s="11" t="str">
        <f>IF(Introduction!G73="","",Introduction!G73)</f>
        <v/>
      </c>
      <c r="E55" s="89" t="str">
        <f>IF(Introduction!H73="","",Introduction!H73)</f>
        <v/>
      </c>
      <c r="F55" s="62"/>
      <c r="I55" s="209">
        <v>41271</v>
      </c>
      <c r="J55" s="418" t="str">
        <f>IF(Introduction!$E$7=1,"🌕",IF(Introduction!$E$7=2,"O","⚇"))</f>
        <v>🌕</v>
      </c>
      <c r="L55" s="502">
        <f t="shared" si="1"/>
        <v>52</v>
      </c>
      <c r="M55" s="210">
        <v>21</v>
      </c>
      <c r="N55" s="210">
        <v>2</v>
      </c>
      <c r="O55" s="210" t="s">
        <v>106</v>
      </c>
      <c r="P55" s="210" t="str">
        <f>IF(Introduction!$E$7=1,CONCATENATE("🍻 ",O55),IF(Introduction!$E$7=2,CONCATENATE("Fêtons ",O55),CONCATENATE("✓ ",O55)))</f>
        <v>🍻 Damien</v>
      </c>
      <c r="R55" s="381">
        <f t="shared" si="9"/>
        <v>47484</v>
      </c>
      <c r="S55" s="381">
        <f t="shared" si="9"/>
        <v>47484</v>
      </c>
      <c r="T55" s="381">
        <f t="shared" si="9"/>
        <v>47484</v>
      </c>
      <c r="U55" s="384"/>
      <c r="V55" s="383">
        <v>47484</v>
      </c>
      <c r="W55" s="383">
        <v>47484</v>
      </c>
      <c r="X55" s="383">
        <v>47484</v>
      </c>
      <c r="Y55" s="383">
        <v>47484</v>
      </c>
      <c r="Z55" s="383">
        <v>47484</v>
      </c>
      <c r="AA55" s="383">
        <v>47484</v>
      </c>
      <c r="AB55" s="383">
        <v>47484</v>
      </c>
      <c r="AC55" s="383">
        <v>47484</v>
      </c>
      <c r="AD55" s="383">
        <v>47484</v>
      </c>
      <c r="AE55" s="383">
        <v>47484</v>
      </c>
      <c r="AF55" s="383">
        <v>47484</v>
      </c>
      <c r="AG55" s="383">
        <v>47484</v>
      </c>
      <c r="AH55" s="383"/>
    </row>
    <row r="56" spans="2:34" x14ac:dyDescent="0.2">
      <c r="B56" s="9"/>
      <c r="C56" s="10" t="str">
        <f t="shared" si="8"/>
        <v/>
      </c>
      <c r="D56" s="11" t="str">
        <f>IF(Introduction!G74="","",Introduction!G74)</f>
        <v/>
      </c>
      <c r="E56" s="89" t="str">
        <f>IF(Introduction!H74="","",Introduction!H74)</f>
        <v/>
      </c>
      <c r="F56" s="62"/>
      <c r="I56" s="209">
        <v>41279</v>
      </c>
      <c r="J56" s="418" t="str">
        <f>IF(Introduction!$E$7=1,"🌗",IF(Introduction!$E$7=2,"D","☾"))</f>
        <v>🌗</v>
      </c>
      <c r="L56" s="502">
        <f t="shared" si="1"/>
        <v>53</v>
      </c>
      <c r="M56" s="210">
        <v>22</v>
      </c>
      <c r="N56" s="210">
        <v>2</v>
      </c>
      <c r="O56" s="210" t="s">
        <v>107</v>
      </c>
      <c r="P56" s="210" t="str">
        <f>IF(Introduction!$E$7=1,CONCATENATE("🍻 ",O56),IF(Introduction!$E$7=2,CONCATENATE("Fêtons ",O56),CONCATENATE("✓ ",O56)))</f>
        <v>🍻 Isabelle</v>
      </c>
      <c r="R56" s="381">
        <f t="shared" si="9"/>
        <v>47484</v>
      </c>
      <c r="S56" s="381">
        <f t="shared" si="9"/>
        <v>47484</v>
      </c>
      <c r="T56" s="381">
        <f t="shared" si="9"/>
        <v>47484</v>
      </c>
      <c r="U56" s="384"/>
      <c r="V56" s="383">
        <v>47484</v>
      </c>
      <c r="W56" s="383">
        <v>47484</v>
      </c>
      <c r="X56" s="383">
        <v>47484</v>
      </c>
      <c r="Y56" s="383">
        <v>47484</v>
      </c>
      <c r="Z56" s="383">
        <v>47484</v>
      </c>
      <c r="AA56" s="383">
        <v>47484</v>
      </c>
      <c r="AB56" s="383">
        <v>47484</v>
      </c>
      <c r="AC56" s="383">
        <v>47484</v>
      </c>
      <c r="AD56" s="383">
        <v>47484</v>
      </c>
      <c r="AE56" s="383">
        <v>47484</v>
      </c>
      <c r="AF56" s="383">
        <v>47484</v>
      </c>
      <c r="AG56" s="383">
        <v>47484</v>
      </c>
      <c r="AH56" s="383"/>
    </row>
    <row r="57" spans="2:34" x14ac:dyDescent="0.2">
      <c r="B57" s="9"/>
      <c r="C57" s="10" t="str">
        <f t="shared" si="8"/>
        <v/>
      </c>
      <c r="D57" s="11" t="str">
        <f>IF(Introduction!G75="","",Introduction!G75)</f>
        <v/>
      </c>
      <c r="E57" s="89" t="str">
        <f>IF(Introduction!H75="","",Introduction!H75)</f>
        <v/>
      </c>
      <c r="F57" s="62"/>
      <c r="I57" s="209">
        <v>41285</v>
      </c>
      <c r="J57" s="418" t="str">
        <f>IF(Introduction!$E$7=1,"🌑",IF(Introduction!$E$7=2,"N","⚉"))</f>
        <v>🌑</v>
      </c>
      <c r="L57" s="502">
        <f t="shared" si="1"/>
        <v>54</v>
      </c>
      <c r="M57" s="210">
        <v>23</v>
      </c>
      <c r="N57" s="210">
        <v>2</v>
      </c>
      <c r="O57" s="210" t="s">
        <v>108</v>
      </c>
      <c r="P57" s="210" t="str">
        <f>IF(Introduction!$E$7=1,CONCATENATE("🍻 ",O57),IF(Introduction!$E$7=2,CONCATENATE("Fêtons ",O57),CONCATENATE("✓ ",O57)))</f>
        <v>🍻 Lazare</v>
      </c>
      <c r="R57" s="381">
        <f t="shared" si="9"/>
        <v>47484</v>
      </c>
      <c r="S57" s="381">
        <f t="shared" si="9"/>
        <v>47484</v>
      </c>
      <c r="T57" s="381">
        <f t="shared" si="9"/>
        <v>47484</v>
      </c>
      <c r="U57" s="384"/>
      <c r="V57" s="383">
        <v>47484</v>
      </c>
      <c r="W57" s="383">
        <v>47484</v>
      </c>
      <c r="X57" s="383">
        <v>47484</v>
      </c>
      <c r="Y57" s="383">
        <v>47484</v>
      </c>
      <c r="Z57" s="383">
        <v>47484</v>
      </c>
      <c r="AA57" s="383">
        <v>47484</v>
      </c>
      <c r="AB57" s="383">
        <v>47484</v>
      </c>
      <c r="AC57" s="383">
        <v>47484</v>
      </c>
      <c r="AD57" s="383">
        <v>47484</v>
      </c>
      <c r="AE57" s="383">
        <v>47484</v>
      </c>
      <c r="AF57" s="383">
        <v>47484</v>
      </c>
      <c r="AG57" s="383">
        <v>47484</v>
      </c>
      <c r="AH57" s="383"/>
    </row>
    <row r="58" spans="2:34" x14ac:dyDescent="0.2">
      <c r="B58" s="9"/>
      <c r="C58" s="10" t="str">
        <f t="shared" si="8"/>
        <v/>
      </c>
      <c r="D58" s="11" t="str">
        <f>IF(Introduction!G76="","",Introduction!G76)</f>
        <v/>
      </c>
      <c r="E58" s="89" t="str">
        <f>IF(Introduction!H76="","",Introduction!H76)</f>
        <v/>
      </c>
      <c r="F58" s="62"/>
      <c r="I58" s="209">
        <v>41292</v>
      </c>
      <c r="J58" s="418" t="str">
        <f>IF(Introduction!$E$7=1,"🌓",IF(Introduction!$E$7=2,"P","☽"))</f>
        <v>🌓</v>
      </c>
      <c r="L58" s="502">
        <f t="shared" si="1"/>
        <v>55</v>
      </c>
      <c r="M58" s="210">
        <v>24</v>
      </c>
      <c r="N58" s="210">
        <v>2</v>
      </c>
      <c r="O58" s="210" t="s">
        <v>109</v>
      </c>
      <c r="P58" s="210" t="str">
        <f>IF(Introduction!$E$7=1,CONCATENATE("🍻 ",O58),IF(Introduction!$E$7=2,CONCATENATE("Fêtons ",O58),CONCATENATE("✓ ",O58)))</f>
        <v>🍻 Modeste</v>
      </c>
      <c r="R58" s="381">
        <f t="shared" si="9"/>
        <v>47484</v>
      </c>
      <c r="S58" s="381">
        <f t="shared" si="9"/>
        <v>47484</v>
      </c>
      <c r="T58" s="381">
        <f t="shared" si="9"/>
        <v>47484</v>
      </c>
      <c r="U58" s="384"/>
      <c r="V58" s="383">
        <v>47484</v>
      </c>
      <c r="W58" s="383">
        <v>47484</v>
      </c>
      <c r="X58" s="383">
        <v>47484</v>
      </c>
      <c r="Y58" s="383">
        <v>47484</v>
      </c>
      <c r="Z58" s="383">
        <v>47484</v>
      </c>
      <c r="AA58" s="383">
        <v>47484</v>
      </c>
      <c r="AB58" s="383">
        <v>47484</v>
      </c>
      <c r="AC58" s="383">
        <v>47484</v>
      </c>
      <c r="AD58" s="383">
        <v>47484</v>
      </c>
      <c r="AE58" s="383">
        <v>47484</v>
      </c>
      <c r="AF58" s="383">
        <v>47484</v>
      </c>
      <c r="AG58" s="383">
        <v>47484</v>
      </c>
      <c r="AH58" s="383"/>
    </row>
    <row r="59" spans="2:34" x14ac:dyDescent="0.2">
      <c r="B59" s="9"/>
      <c r="C59" s="10" t="str">
        <f t="shared" si="8"/>
        <v/>
      </c>
      <c r="D59" s="11" t="str">
        <f>IF(Introduction!G77="","",Introduction!G77)</f>
        <v/>
      </c>
      <c r="E59" s="89" t="str">
        <f>IF(Introduction!H77="","",Introduction!H77)</f>
        <v/>
      </c>
      <c r="F59" s="62"/>
      <c r="I59" s="209">
        <v>41301</v>
      </c>
      <c r="J59" s="418" t="str">
        <f>IF(Introduction!$E$7=1,"🌕",IF(Introduction!$E$7=2,"O","⚇"))</f>
        <v>🌕</v>
      </c>
      <c r="L59" s="502">
        <f t="shared" si="1"/>
        <v>56</v>
      </c>
      <c r="M59" s="210">
        <v>25</v>
      </c>
      <c r="N59" s="210">
        <v>2</v>
      </c>
      <c r="O59" s="210" t="s">
        <v>110</v>
      </c>
      <c r="P59" s="210" t="str">
        <f>IF(Introduction!$E$7=1,CONCATENATE("🍻 ",O59),IF(Introduction!$E$7=2,CONCATENATE("Fêtons ",O59),CONCATENATE("✓ ",O59)))</f>
        <v>🍻 Roméo</v>
      </c>
      <c r="R59" s="381">
        <f t="shared" si="9"/>
        <v>47484</v>
      </c>
      <c r="S59" s="381">
        <f t="shared" si="9"/>
        <v>47484</v>
      </c>
      <c r="T59" s="381">
        <f t="shared" si="9"/>
        <v>47484</v>
      </c>
      <c r="U59" s="384"/>
      <c r="V59" s="383">
        <v>47484</v>
      </c>
      <c r="W59" s="383">
        <v>47484</v>
      </c>
      <c r="X59" s="383">
        <v>47484</v>
      </c>
      <c r="Y59" s="383">
        <v>47484</v>
      </c>
      <c r="Z59" s="383">
        <v>47484</v>
      </c>
      <c r="AA59" s="383">
        <v>47484</v>
      </c>
      <c r="AB59" s="383">
        <v>47484</v>
      </c>
      <c r="AC59" s="383">
        <v>47484</v>
      </c>
      <c r="AD59" s="383">
        <v>47484</v>
      </c>
      <c r="AE59" s="383">
        <v>47484</v>
      </c>
      <c r="AF59" s="383">
        <v>47484</v>
      </c>
      <c r="AG59" s="383">
        <v>47484</v>
      </c>
      <c r="AH59" s="383"/>
    </row>
    <row r="60" spans="2:34" x14ac:dyDescent="0.2">
      <c r="B60" s="9"/>
      <c r="C60" s="10" t="str">
        <f t="shared" si="8"/>
        <v/>
      </c>
      <c r="D60" s="11" t="str">
        <f>IF(Introduction!G78="","",Introduction!G78)</f>
        <v/>
      </c>
      <c r="E60" s="89" t="str">
        <f>IF(Introduction!H78="","",Introduction!H78)</f>
        <v/>
      </c>
      <c r="F60" s="62"/>
      <c r="I60" s="209">
        <v>41308</v>
      </c>
      <c r="J60" s="418" t="str">
        <f>IF(Introduction!$E$7=1,"🌗",IF(Introduction!$E$7=2,"D","☾"))</f>
        <v>🌗</v>
      </c>
      <c r="L60" s="502">
        <f t="shared" si="1"/>
        <v>57</v>
      </c>
      <c r="M60" s="210">
        <v>26</v>
      </c>
      <c r="N60" s="210">
        <v>2</v>
      </c>
      <c r="O60" s="210" t="s">
        <v>111</v>
      </c>
      <c r="P60" s="210" t="str">
        <f>IF(Introduction!$E$7=1,CONCATENATE("🍻 ",O60),IF(Introduction!$E$7=2,CONCATENATE("Fêtons ",O60),CONCATENATE("✓ ",O60)))</f>
        <v>🍻 Nestor</v>
      </c>
      <c r="R60" s="381">
        <f t="shared" si="9"/>
        <v>47484</v>
      </c>
      <c r="S60" s="381">
        <f t="shared" si="9"/>
        <v>47484</v>
      </c>
      <c r="T60" s="381">
        <f t="shared" si="9"/>
        <v>47484</v>
      </c>
      <c r="U60" s="384"/>
      <c r="V60" s="383">
        <v>47484</v>
      </c>
      <c r="W60" s="383">
        <v>47484</v>
      </c>
      <c r="X60" s="383">
        <v>47484</v>
      </c>
      <c r="Y60" s="383">
        <v>47484</v>
      </c>
      <c r="Z60" s="383">
        <v>47484</v>
      </c>
      <c r="AA60" s="383">
        <v>47484</v>
      </c>
      <c r="AB60" s="383">
        <v>47484</v>
      </c>
      <c r="AC60" s="383">
        <v>47484</v>
      </c>
      <c r="AD60" s="383">
        <v>47484</v>
      </c>
      <c r="AE60" s="383">
        <v>47484</v>
      </c>
      <c r="AF60" s="383">
        <v>47484</v>
      </c>
      <c r="AG60" s="383">
        <v>47484</v>
      </c>
      <c r="AH60" s="383"/>
    </row>
    <row r="61" spans="2:34" x14ac:dyDescent="0.2">
      <c r="B61" s="9"/>
      <c r="C61" s="10" t="str">
        <f t="shared" si="8"/>
        <v/>
      </c>
      <c r="D61" s="11" t="str">
        <f>IF(Introduction!G79="","",Introduction!G79)</f>
        <v/>
      </c>
      <c r="E61" s="89" t="str">
        <f>IF(Introduction!H79="","",Introduction!H79)</f>
        <v/>
      </c>
      <c r="F61" s="62"/>
      <c r="I61" s="209">
        <v>41315</v>
      </c>
      <c r="J61" s="418" t="str">
        <f>IF(Introduction!$E$7=1,"🌑",IF(Introduction!$E$7=2,"N","⚉"))</f>
        <v>🌑</v>
      </c>
      <c r="L61" s="502">
        <f t="shared" si="1"/>
        <v>58</v>
      </c>
      <c r="M61" s="210">
        <v>27</v>
      </c>
      <c r="N61" s="210">
        <v>2</v>
      </c>
      <c r="O61" s="210" t="s">
        <v>112</v>
      </c>
      <c r="P61" s="210" t="str">
        <f>IF(Introduction!$E$7=1,CONCATENATE("🍻 ",O61),IF(Introduction!$E$7=2,CONCATENATE("Fêtons ",O61),CONCATENATE("✓ ",O61)))</f>
        <v>🍻 Honorine, Léandre</v>
      </c>
      <c r="R61" s="381">
        <f t="shared" si="9"/>
        <v>47484</v>
      </c>
      <c r="S61" s="381">
        <f t="shared" si="9"/>
        <v>47484</v>
      </c>
      <c r="T61" s="381">
        <f t="shared" si="9"/>
        <v>47484</v>
      </c>
      <c r="U61" s="384"/>
      <c r="V61" s="383">
        <v>47484</v>
      </c>
      <c r="W61" s="383">
        <v>47484</v>
      </c>
      <c r="X61" s="383">
        <v>47484</v>
      </c>
      <c r="Y61" s="383">
        <v>47484</v>
      </c>
      <c r="Z61" s="383">
        <v>47484</v>
      </c>
      <c r="AA61" s="383">
        <v>47484</v>
      </c>
      <c r="AB61" s="383">
        <v>47484</v>
      </c>
      <c r="AC61" s="383">
        <v>47484</v>
      </c>
      <c r="AD61" s="383">
        <v>47484</v>
      </c>
      <c r="AE61" s="383">
        <v>47484</v>
      </c>
      <c r="AF61" s="383">
        <v>47484</v>
      </c>
      <c r="AG61" s="383">
        <v>47484</v>
      </c>
      <c r="AH61" s="383"/>
    </row>
    <row r="62" spans="2:34" x14ac:dyDescent="0.2">
      <c r="B62" s="422"/>
      <c r="C62" s="10" t="str">
        <f t="shared" si="8"/>
        <v/>
      </c>
      <c r="D62" s="11" t="str">
        <f>IF(Introduction!G80="","",Introduction!G80)</f>
        <v/>
      </c>
      <c r="E62" s="89" t="str">
        <f>IF(Introduction!H80="","",Introduction!H80)</f>
        <v/>
      </c>
      <c r="F62" s="62"/>
      <c r="I62" s="209">
        <v>41322</v>
      </c>
      <c r="J62" s="418" t="str">
        <f>IF(Introduction!$E$7=1,"🌓",IF(Introduction!$E$7=2,"P","☽"))</f>
        <v>🌓</v>
      </c>
      <c r="L62" s="502">
        <f t="shared" si="1"/>
        <v>59</v>
      </c>
      <c r="M62" s="210">
        <v>28</v>
      </c>
      <c r="N62" s="210">
        <v>2</v>
      </c>
      <c r="O62" s="210" t="s">
        <v>113</v>
      </c>
      <c r="P62" s="210" t="str">
        <f>IF(Introduction!$E$7=1,CONCATENATE("🍻 ",O62),IF(Introduction!$E$7=2,CONCATENATE("Fêtons ",O62),CONCATENATE("✓ ",O62)))</f>
        <v>🍻 Romain</v>
      </c>
      <c r="R62" s="381">
        <f t="shared" si="9"/>
        <v>47484</v>
      </c>
      <c r="S62" s="381">
        <f t="shared" si="9"/>
        <v>47484</v>
      </c>
      <c r="T62" s="381">
        <f t="shared" si="9"/>
        <v>47484</v>
      </c>
      <c r="U62" s="384"/>
      <c r="V62" s="383">
        <v>47484</v>
      </c>
      <c r="W62" s="383">
        <v>47484</v>
      </c>
      <c r="X62" s="383">
        <v>47484</v>
      </c>
      <c r="Y62" s="383">
        <v>47484</v>
      </c>
      <c r="Z62" s="383">
        <v>47484</v>
      </c>
      <c r="AA62" s="383">
        <v>47484</v>
      </c>
      <c r="AB62" s="383">
        <v>47484</v>
      </c>
      <c r="AC62" s="383">
        <v>47484</v>
      </c>
      <c r="AD62" s="383">
        <v>47484</v>
      </c>
      <c r="AE62" s="383">
        <v>47484</v>
      </c>
      <c r="AF62" s="383">
        <v>47484</v>
      </c>
      <c r="AG62" s="383">
        <v>47484</v>
      </c>
      <c r="AH62" s="383"/>
    </row>
    <row r="63" spans="2:34" x14ac:dyDescent="0.2">
      <c r="B63" s="422"/>
      <c r="C63" s="10" t="str">
        <f t="shared" si="8"/>
        <v/>
      </c>
      <c r="D63" s="11" t="str">
        <f>IF(Introduction!G81="","",Introduction!G81)</f>
        <v/>
      </c>
      <c r="E63" s="89" t="str">
        <f>IF(Introduction!H81="","",Introduction!H81)</f>
        <v/>
      </c>
      <c r="F63" s="62"/>
      <c r="I63" s="209">
        <v>41330</v>
      </c>
      <c r="J63" s="418" t="str">
        <f>IF(Introduction!$E$7=1,"🌕",IF(Introduction!$E$7=2,"O","⚇"))</f>
        <v>🌕</v>
      </c>
      <c r="L63" s="502">
        <f t="shared" si="1"/>
        <v>60</v>
      </c>
      <c r="M63" s="210">
        <v>29</v>
      </c>
      <c r="N63" s="210">
        <v>2</v>
      </c>
      <c r="O63" s="210" t="s">
        <v>114</v>
      </c>
      <c r="P63" s="210" t="str">
        <f>IF(Introduction!$E$7=1,CONCATENATE("🍻 ",O63),IF(Introduction!$E$7=2,CONCATENATE("Fêtons ",O63),CONCATENATE("✓ ",O63)))</f>
        <v>🍻 Auguste</v>
      </c>
      <c r="R63" s="381">
        <f t="shared" si="9"/>
        <v>47484</v>
      </c>
      <c r="S63" s="381">
        <f t="shared" si="9"/>
        <v>47484</v>
      </c>
      <c r="T63" s="381">
        <f t="shared" si="9"/>
        <v>47484</v>
      </c>
      <c r="U63" s="384"/>
      <c r="V63" s="383">
        <v>47484</v>
      </c>
      <c r="W63" s="383">
        <v>47484</v>
      </c>
      <c r="X63" s="383">
        <v>47484</v>
      </c>
      <c r="Y63" s="383">
        <v>47484</v>
      </c>
      <c r="Z63" s="383">
        <v>47484</v>
      </c>
      <c r="AA63" s="383">
        <v>47484</v>
      </c>
      <c r="AB63" s="383">
        <v>47484</v>
      </c>
      <c r="AC63" s="383">
        <v>47484</v>
      </c>
      <c r="AD63" s="383">
        <v>47484</v>
      </c>
      <c r="AE63" s="383">
        <v>47484</v>
      </c>
      <c r="AF63" s="383">
        <v>47484</v>
      </c>
      <c r="AG63" s="383">
        <v>47484</v>
      </c>
      <c r="AH63" s="383"/>
    </row>
    <row r="64" spans="2:34" x14ac:dyDescent="0.2">
      <c r="B64" s="422"/>
      <c r="C64" s="10" t="str">
        <f t="shared" si="8"/>
        <v/>
      </c>
      <c r="D64" s="11" t="str">
        <f>IF(Introduction!G82="","",Introduction!G82)</f>
        <v/>
      </c>
      <c r="E64" s="89" t="str">
        <f>IF(Introduction!H82="","",Introduction!H82)</f>
        <v/>
      </c>
      <c r="F64" s="62"/>
      <c r="I64" s="209">
        <v>41337</v>
      </c>
      <c r="J64" s="418" t="str">
        <f>IF(Introduction!$E$7=1,"🌗",IF(Introduction!$E$7=2,"D","☾"))</f>
        <v>🌗</v>
      </c>
      <c r="L64" s="502">
        <f t="shared" si="1"/>
        <v>61</v>
      </c>
      <c r="M64" s="210">
        <v>1</v>
      </c>
      <c r="N64" s="210">
        <v>3</v>
      </c>
      <c r="O64" s="210" t="s">
        <v>115</v>
      </c>
      <c r="P64" s="210" t="str">
        <f>IF(Introduction!$E$7=1,CONCATENATE("🍻 ",O64),IF(Introduction!$E$7=2,CONCATENATE("Fêtons ",O64),CONCATENATE("✓ ",O64)))</f>
        <v>🍻 Albin, Aubin, Jonathan</v>
      </c>
      <c r="R64" s="381">
        <f t="shared" ref="R64:T83" si="10">INDEX($U64:$AH64,1,MATCH(R$3,$U$3:$AH$3,0))</f>
        <v>47484</v>
      </c>
      <c r="S64" s="381">
        <f t="shared" si="10"/>
        <v>47484</v>
      </c>
      <c r="T64" s="381">
        <f t="shared" si="10"/>
        <v>47484</v>
      </c>
      <c r="U64" s="384"/>
      <c r="V64" s="383">
        <v>47484</v>
      </c>
      <c r="W64" s="383">
        <v>47484</v>
      </c>
      <c r="X64" s="383">
        <v>47484</v>
      </c>
      <c r="Y64" s="383">
        <v>47484</v>
      </c>
      <c r="Z64" s="383">
        <v>47484</v>
      </c>
      <c r="AA64" s="383">
        <v>47484</v>
      </c>
      <c r="AB64" s="383">
        <v>47484</v>
      </c>
      <c r="AC64" s="383">
        <v>47484</v>
      </c>
      <c r="AD64" s="383">
        <v>47484</v>
      </c>
      <c r="AE64" s="383">
        <v>47484</v>
      </c>
      <c r="AF64" s="383">
        <v>47484</v>
      </c>
      <c r="AG64" s="383">
        <v>47484</v>
      </c>
      <c r="AH64" s="383"/>
    </row>
    <row r="65" spans="2:34" x14ac:dyDescent="0.2">
      <c r="B65" s="422"/>
      <c r="C65" s="10" t="str">
        <f t="shared" si="8"/>
        <v/>
      </c>
      <c r="D65" s="11" t="str">
        <f>IF(Introduction!G83="","",Introduction!G83)</f>
        <v/>
      </c>
      <c r="E65" s="89" t="str">
        <f>IF(Introduction!H83="","",Introduction!H83)</f>
        <v/>
      </c>
      <c r="F65" s="62"/>
      <c r="I65" s="209">
        <v>41344</v>
      </c>
      <c r="J65" s="418" t="str">
        <f>IF(Introduction!$E$7=1,"🌑",IF(Introduction!$E$7=2,"N","⚉"))</f>
        <v>🌑</v>
      </c>
      <c r="L65" s="502">
        <f t="shared" si="1"/>
        <v>62</v>
      </c>
      <c r="M65" s="210">
        <v>2</v>
      </c>
      <c r="N65" s="210">
        <v>3</v>
      </c>
      <c r="O65" s="210" t="s">
        <v>116</v>
      </c>
      <c r="P65" s="210" t="str">
        <f>IF(Introduction!$E$7=1,CONCATENATE("🍻 ",O65),IF(Introduction!$E$7=2,CONCATENATE("Fêtons ",O65),CONCATENATE("✓ ",O65)))</f>
        <v>🍻 Charles</v>
      </c>
      <c r="R65" s="381">
        <f t="shared" si="10"/>
        <v>47484</v>
      </c>
      <c r="S65" s="381">
        <f t="shared" si="10"/>
        <v>47484</v>
      </c>
      <c r="T65" s="381">
        <f t="shared" si="10"/>
        <v>47484</v>
      </c>
      <c r="U65" s="384"/>
      <c r="V65" s="383">
        <v>47484</v>
      </c>
      <c r="W65" s="383">
        <v>47484</v>
      </c>
      <c r="X65" s="383">
        <v>47484</v>
      </c>
      <c r="Y65" s="383">
        <v>47484</v>
      </c>
      <c r="Z65" s="383">
        <v>47484</v>
      </c>
      <c r="AA65" s="383">
        <v>47484</v>
      </c>
      <c r="AB65" s="383">
        <v>47484</v>
      </c>
      <c r="AC65" s="383">
        <v>47484</v>
      </c>
      <c r="AD65" s="383">
        <v>47484</v>
      </c>
      <c r="AE65" s="383">
        <v>47484</v>
      </c>
      <c r="AF65" s="383">
        <v>47484</v>
      </c>
      <c r="AG65" s="383">
        <v>47484</v>
      </c>
      <c r="AH65" s="383"/>
    </row>
    <row r="66" spans="2:34" x14ac:dyDescent="0.2">
      <c r="B66" s="422"/>
      <c r="C66" s="10" t="str">
        <f t="shared" si="8"/>
        <v/>
      </c>
      <c r="D66" s="11" t="str">
        <f>IF(Introduction!G84="","",Introduction!G84)</f>
        <v/>
      </c>
      <c r="E66" s="89" t="str">
        <f>IF(Introduction!H84="","",Introduction!H84)</f>
        <v/>
      </c>
      <c r="F66" s="62"/>
      <c r="I66" s="209">
        <v>41352</v>
      </c>
      <c r="J66" s="418" t="str">
        <f>IF(Introduction!$E$7=1,"🌓",IF(Introduction!$E$7=2,"P","☽"))</f>
        <v>🌓</v>
      </c>
      <c r="L66" s="502">
        <f t="shared" si="1"/>
        <v>63</v>
      </c>
      <c r="M66" s="210">
        <v>3</v>
      </c>
      <c r="N66" s="210">
        <v>3</v>
      </c>
      <c r="O66" s="210" t="s">
        <v>117</v>
      </c>
      <c r="P66" s="210" t="str">
        <f>IF(Introduction!$E$7=1,CONCATENATE("🍻 ",O66),IF(Introduction!$E$7=2,CONCATENATE("Fêtons ",O66),CONCATENATE("✓ ",O66)))</f>
        <v>🍻 Guénolé, Marin</v>
      </c>
      <c r="R66" s="381">
        <f t="shared" si="10"/>
        <v>47484</v>
      </c>
      <c r="S66" s="381">
        <f t="shared" si="10"/>
        <v>47484</v>
      </c>
      <c r="T66" s="381">
        <f t="shared" si="10"/>
        <v>47484</v>
      </c>
      <c r="U66" s="384"/>
      <c r="V66" s="383">
        <v>47484</v>
      </c>
      <c r="W66" s="383">
        <v>47484</v>
      </c>
      <c r="X66" s="383">
        <v>47484</v>
      </c>
      <c r="Y66" s="383">
        <v>47484</v>
      </c>
      <c r="Z66" s="383">
        <v>47484</v>
      </c>
      <c r="AA66" s="383">
        <v>47484</v>
      </c>
      <c r="AB66" s="383">
        <v>47484</v>
      </c>
      <c r="AC66" s="383">
        <v>47484</v>
      </c>
      <c r="AD66" s="383">
        <v>47484</v>
      </c>
      <c r="AE66" s="383">
        <v>47484</v>
      </c>
      <c r="AF66" s="383">
        <v>47484</v>
      </c>
      <c r="AG66" s="383">
        <v>47484</v>
      </c>
      <c r="AH66" s="383"/>
    </row>
    <row r="67" spans="2:34" x14ac:dyDescent="0.2">
      <c r="B67" s="422"/>
      <c r="C67" s="10" t="str">
        <f t="shared" si="8"/>
        <v/>
      </c>
      <c r="D67" s="11" t="str">
        <f>IF(Introduction!G85="","",Introduction!G85)</f>
        <v/>
      </c>
      <c r="E67" s="89" t="str">
        <f>IF(Introduction!H85="","",Introduction!H85)</f>
        <v/>
      </c>
      <c r="F67" s="62"/>
      <c r="I67" s="209">
        <v>41360</v>
      </c>
      <c r="J67" s="418" t="str">
        <f>IF(Introduction!$E$7=1,"🌕",IF(Introduction!$E$7=2,"O","⚇"))</f>
        <v>🌕</v>
      </c>
      <c r="L67" s="502">
        <f t="shared" si="1"/>
        <v>64</v>
      </c>
      <c r="M67" s="210">
        <v>4</v>
      </c>
      <c r="N67" s="210">
        <v>3</v>
      </c>
      <c r="O67" s="210" t="s">
        <v>118</v>
      </c>
      <c r="P67" s="210" t="str">
        <f>IF(Introduction!$E$7=1,CONCATENATE("🍻 ",O67),IF(Introduction!$E$7=2,CONCATENATE("Fêtons ",O67),CONCATENATE("✓ ",O67)))</f>
        <v>🍻 Casimir</v>
      </c>
      <c r="R67" s="381">
        <f t="shared" si="10"/>
        <v>47484</v>
      </c>
      <c r="S67" s="381">
        <f t="shared" si="10"/>
        <v>47484</v>
      </c>
      <c r="T67" s="381">
        <f t="shared" si="10"/>
        <v>47484</v>
      </c>
      <c r="U67" s="384"/>
      <c r="V67" s="383">
        <v>47484</v>
      </c>
      <c r="W67" s="383">
        <v>47484</v>
      </c>
      <c r="X67" s="383">
        <v>47484</v>
      </c>
      <c r="Y67" s="383">
        <v>47484</v>
      </c>
      <c r="Z67" s="383">
        <v>47484</v>
      </c>
      <c r="AA67" s="383">
        <v>47484</v>
      </c>
      <c r="AB67" s="383">
        <v>47484</v>
      </c>
      <c r="AC67" s="383">
        <v>47484</v>
      </c>
      <c r="AD67" s="383">
        <v>47484</v>
      </c>
      <c r="AE67" s="383">
        <v>47484</v>
      </c>
      <c r="AF67" s="383">
        <v>47484</v>
      </c>
      <c r="AG67" s="383">
        <v>47484</v>
      </c>
      <c r="AH67" s="383"/>
    </row>
    <row r="68" spans="2:34" x14ac:dyDescent="0.2">
      <c r="B68" s="422"/>
      <c r="C68" s="10" t="str">
        <f t="shared" si="8"/>
        <v/>
      </c>
      <c r="D68" s="11" t="str">
        <f>IF(Introduction!G86="","",Introduction!G86)</f>
        <v/>
      </c>
      <c r="E68" s="89" t="str">
        <f>IF(Introduction!H86="","",Introduction!H86)</f>
        <v/>
      </c>
      <c r="F68" s="62"/>
      <c r="I68" s="209">
        <v>41367</v>
      </c>
      <c r="J68" s="418" t="str">
        <f>IF(Introduction!$E$7=1,"🌗",IF(Introduction!$E$7=2,"D","☾"))</f>
        <v>🌗</v>
      </c>
      <c r="L68" s="502">
        <f t="shared" si="1"/>
        <v>65</v>
      </c>
      <c r="M68" s="210">
        <v>5</v>
      </c>
      <c r="N68" s="210">
        <v>3</v>
      </c>
      <c r="O68" s="210" t="s">
        <v>119</v>
      </c>
      <c r="P68" s="210" t="str">
        <f>IF(Introduction!$E$7=1,CONCATENATE("🍻 ",O68),IF(Introduction!$E$7=2,CONCATENATE("Fêtons ",O68),CONCATENATE("✓ ",O68)))</f>
        <v>🍻 Olivia, Olive</v>
      </c>
      <c r="R68" s="381">
        <f t="shared" si="10"/>
        <v>47484</v>
      </c>
      <c r="S68" s="381">
        <f t="shared" si="10"/>
        <v>47484</v>
      </c>
      <c r="T68" s="381">
        <f t="shared" si="10"/>
        <v>47484</v>
      </c>
      <c r="U68" s="385"/>
      <c r="V68" s="383">
        <v>47484</v>
      </c>
      <c r="W68" s="383">
        <v>47484</v>
      </c>
      <c r="X68" s="383">
        <v>47484</v>
      </c>
      <c r="Y68" s="383">
        <v>47484</v>
      </c>
      <c r="Z68" s="383">
        <v>47484</v>
      </c>
      <c r="AA68" s="383">
        <v>47484</v>
      </c>
      <c r="AB68" s="383">
        <v>47484</v>
      </c>
      <c r="AC68" s="383">
        <v>47484</v>
      </c>
      <c r="AD68" s="383">
        <v>47484</v>
      </c>
      <c r="AE68" s="383">
        <v>47484</v>
      </c>
      <c r="AF68" s="383">
        <v>47484</v>
      </c>
      <c r="AG68" s="383">
        <v>47484</v>
      </c>
      <c r="AH68" s="383"/>
    </row>
    <row r="69" spans="2:34" x14ac:dyDescent="0.2">
      <c r="B69" s="422"/>
      <c r="C69" s="10" t="str">
        <f t="shared" si="8"/>
        <v/>
      </c>
      <c r="D69" s="11" t="str">
        <f>IF(Introduction!G87="","",Introduction!G87)</f>
        <v/>
      </c>
      <c r="E69" s="89" t="str">
        <f>IF(Introduction!H87="","",Introduction!H87)</f>
        <v/>
      </c>
      <c r="F69" s="62"/>
      <c r="I69" s="209">
        <v>41374</v>
      </c>
      <c r="J69" s="418" t="str">
        <f>IF(Introduction!$E$7=1,"🌑",IF(Introduction!$E$7=2,"N","⚉"))</f>
        <v>🌑</v>
      </c>
      <c r="L69" s="502">
        <f t="shared" ref="L69:L132" si="11">DATE(,N69,M69)</f>
        <v>66</v>
      </c>
      <c r="M69" s="210">
        <v>6</v>
      </c>
      <c r="N69" s="210">
        <v>3</v>
      </c>
      <c r="O69" s="210" t="s">
        <v>120</v>
      </c>
      <c r="P69" s="210" t="str">
        <f>IF(Introduction!$E$7=1,CONCATENATE("🍻 ",O69),IF(Introduction!$E$7=2,CONCATENATE("Fêtons ",O69),CONCATENATE("✓ ",O69)))</f>
        <v>🍻 Colette</v>
      </c>
      <c r="R69" s="381">
        <f t="shared" si="10"/>
        <v>47484</v>
      </c>
      <c r="S69" s="381">
        <f t="shared" si="10"/>
        <v>47484</v>
      </c>
      <c r="T69" s="381">
        <f t="shared" si="10"/>
        <v>47484</v>
      </c>
      <c r="U69" s="385"/>
      <c r="V69" s="383">
        <v>47484</v>
      </c>
      <c r="W69" s="383">
        <v>47484</v>
      </c>
      <c r="X69" s="383">
        <v>47484</v>
      </c>
      <c r="Y69" s="383">
        <v>47484</v>
      </c>
      <c r="Z69" s="383">
        <v>47484</v>
      </c>
      <c r="AA69" s="383">
        <v>47484</v>
      </c>
      <c r="AB69" s="383">
        <v>47484</v>
      </c>
      <c r="AC69" s="383">
        <v>47484</v>
      </c>
      <c r="AD69" s="383">
        <v>47484</v>
      </c>
      <c r="AE69" s="383">
        <v>47484</v>
      </c>
      <c r="AF69" s="383">
        <v>47484</v>
      </c>
      <c r="AG69" s="383">
        <v>47484</v>
      </c>
      <c r="AH69" s="383"/>
    </row>
    <row r="70" spans="2:34" x14ac:dyDescent="0.2">
      <c r="B70" s="422"/>
      <c r="C70" s="10" t="str">
        <f t="shared" si="8"/>
        <v/>
      </c>
      <c r="D70" s="11" t="str">
        <f>IF(Introduction!G88="","",Introduction!G88)</f>
        <v/>
      </c>
      <c r="E70" s="89" t="str">
        <f>IF(Introduction!H88="","",Introduction!H88)</f>
        <v/>
      </c>
      <c r="F70" s="62"/>
      <c r="I70" s="209">
        <v>41382</v>
      </c>
      <c r="J70" s="418" t="str">
        <f>IF(Introduction!$E$7=1,"🌓",IF(Introduction!$E$7=2,"P","☽"))</f>
        <v>🌓</v>
      </c>
      <c r="L70" s="502">
        <f t="shared" si="11"/>
        <v>67</v>
      </c>
      <c r="M70" s="210">
        <v>7</v>
      </c>
      <c r="N70" s="210">
        <v>3</v>
      </c>
      <c r="O70" s="210" t="s">
        <v>121</v>
      </c>
      <c r="P70" s="210" t="str">
        <f>IF(Introduction!$E$7=1,CONCATENATE("🍻 ",O70),IF(Introduction!$E$7=2,CONCATENATE("Fêtons ",O70),CONCATENATE("✓ ",O70)))</f>
        <v>🍻 Félicité, Nathan</v>
      </c>
      <c r="R70" s="381">
        <f t="shared" si="10"/>
        <v>47484</v>
      </c>
      <c r="S70" s="381">
        <f t="shared" si="10"/>
        <v>47484</v>
      </c>
      <c r="T70" s="381">
        <f t="shared" si="10"/>
        <v>47484</v>
      </c>
      <c r="U70" s="385"/>
      <c r="V70" s="383">
        <v>47484</v>
      </c>
      <c r="W70" s="383">
        <v>47484</v>
      </c>
      <c r="X70" s="383">
        <v>47484</v>
      </c>
      <c r="Y70" s="383">
        <v>47484</v>
      </c>
      <c r="Z70" s="383">
        <v>47484</v>
      </c>
      <c r="AA70" s="383">
        <v>47484</v>
      </c>
      <c r="AB70" s="383">
        <v>47484</v>
      </c>
      <c r="AC70" s="383">
        <v>47484</v>
      </c>
      <c r="AD70" s="383">
        <v>47484</v>
      </c>
      <c r="AE70" s="383">
        <v>47484</v>
      </c>
      <c r="AF70" s="383">
        <v>47484</v>
      </c>
      <c r="AG70" s="383">
        <v>47484</v>
      </c>
      <c r="AH70" s="383"/>
    </row>
    <row r="71" spans="2:34" x14ac:dyDescent="0.2">
      <c r="B71" s="422"/>
      <c r="C71" s="10" t="str">
        <f t="shared" si="8"/>
        <v/>
      </c>
      <c r="D71" s="11" t="str">
        <f>IF(Introduction!G89="","",Introduction!G89)</f>
        <v/>
      </c>
      <c r="E71" s="89" t="str">
        <f>IF(Introduction!H89="","",Introduction!H89)</f>
        <v/>
      </c>
      <c r="F71" s="62"/>
      <c r="I71" s="209">
        <v>41389</v>
      </c>
      <c r="J71" s="418" t="str">
        <f>IF(Introduction!$E$7=1,"🌕",IF(Introduction!$E$7=2,"O","⚇"))</f>
        <v>🌕</v>
      </c>
      <c r="L71" s="502">
        <f t="shared" si="11"/>
        <v>68</v>
      </c>
      <c r="M71" s="210">
        <v>8</v>
      </c>
      <c r="N71" s="210">
        <v>3</v>
      </c>
      <c r="O71" s="210" t="s">
        <v>122</v>
      </c>
      <c r="P71" s="210" t="str">
        <f>IF(Introduction!$E$7=1,CONCATENATE("🍻 ",O71),IF(Introduction!$E$7=2,CONCATENATE("Fêtons ",O71),CONCATENATE("✓ ",O71)))</f>
        <v>🍻 Jean de Dieu</v>
      </c>
      <c r="R71" s="381">
        <f t="shared" si="10"/>
        <v>47484</v>
      </c>
      <c r="S71" s="381">
        <f t="shared" si="10"/>
        <v>47484</v>
      </c>
      <c r="T71" s="381">
        <f t="shared" si="10"/>
        <v>47484</v>
      </c>
      <c r="U71" s="385"/>
      <c r="V71" s="383">
        <v>47484</v>
      </c>
      <c r="W71" s="383">
        <v>47484</v>
      </c>
      <c r="X71" s="383">
        <v>47484</v>
      </c>
      <c r="Y71" s="383">
        <v>47484</v>
      </c>
      <c r="Z71" s="383">
        <v>47484</v>
      </c>
      <c r="AA71" s="383">
        <v>47484</v>
      </c>
      <c r="AB71" s="383">
        <v>47484</v>
      </c>
      <c r="AC71" s="383">
        <v>47484</v>
      </c>
      <c r="AD71" s="383">
        <v>47484</v>
      </c>
      <c r="AE71" s="383">
        <v>47484</v>
      </c>
      <c r="AF71" s="383">
        <v>47484</v>
      </c>
      <c r="AG71" s="383">
        <v>47484</v>
      </c>
      <c r="AH71" s="383"/>
    </row>
    <row r="72" spans="2:34" x14ac:dyDescent="0.2">
      <c r="B72" s="9"/>
      <c r="C72" s="10" t="str">
        <f t="shared" si="8"/>
        <v/>
      </c>
      <c r="D72" s="11" t="str">
        <f>IF(Introduction!G90="","",Introduction!G90)</f>
        <v/>
      </c>
      <c r="E72" s="89" t="str">
        <f>IF(Introduction!H90="","",Introduction!H90)</f>
        <v/>
      </c>
      <c r="F72" s="62"/>
      <c r="I72" s="209">
        <v>41396</v>
      </c>
      <c r="J72" s="418" t="str">
        <f>IF(Introduction!$E$7=1,"🌗",IF(Introduction!$E$7=2,"D","☾"))</f>
        <v>🌗</v>
      </c>
      <c r="L72" s="502">
        <f t="shared" si="11"/>
        <v>69</v>
      </c>
      <c r="M72" s="210">
        <v>9</v>
      </c>
      <c r="N72" s="210">
        <v>3</v>
      </c>
      <c r="O72" s="210" t="s">
        <v>123</v>
      </c>
      <c r="P72" s="210" t="str">
        <f>IF(Introduction!$E$7=1,CONCATENATE("🍻 ",O72),IF(Introduction!$E$7=2,CONCATENATE("Fêtons ",O72),CONCATENATE("✓ ",O72)))</f>
        <v>🍻 Françoise, Fanchon</v>
      </c>
      <c r="R72" s="381">
        <f t="shared" si="10"/>
        <v>47484</v>
      </c>
      <c r="S72" s="381">
        <f t="shared" si="10"/>
        <v>47484</v>
      </c>
      <c r="T72" s="381">
        <f t="shared" si="10"/>
        <v>47484</v>
      </c>
      <c r="U72" s="385"/>
      <c r="V72" s="383">
        <v>47484</v>
      </c>
      <c r="W72" s="383">
        <v>47484</v>
      </c>
      <c r="X72" s="383">
        <v>47484</v>
      </c>
      <c r="Y72" s="383">
        <v>47484</v>
      </c>
      <c r="Z72" s="383">
        <v>47484</v>
      </c>
      <c r="AA72" s="383">
        <v>47484</v>
      </c>
      <c r="AB72" s="383">
        <v>47484</v>
      </c>
      <c r="AC72" s="383">
        <v>47484</v>
      </c>
      <c r="AD72" s="383">
        <v>47484</v>
      </c>
      <c r="AE72" s="383">
        <v>47484</v>
      </c>
      <c r="AF72" s="383">
        <v>47484</v>
      </c>
      <c r="AG72" s="383">
        <v>47484</v>
      </c>
      <c r="AH72" s="383"/>
    </row>
    <row r="73" spans="2:34" x14ac:dyDescent="0.2">
      <c r="B73" s="9"/>
      <c r="C73" s="10" t="str">
        <f t="shared" si="8"/>
        <v/>
      </c>
      <c r="D73" s="11" t="str">
        <f>IF(Introduction!G91="","",Introduction!G91)</f>
        <v/>
      </c>
      <c r="E73" s="89" t="str">
        <f>IF(Introduction!H91="","",Introduction!H91)</f>
        <v/>
      </c>
      <c r="F73" s="62"/>
      <c r="I73" s="209">
        <v>41404</v>
      </c>
      <c r="J73" s="418" t="str">
        <f>IF(Introduction!$E$7=1,"🌑",IF(Introduction!$E$7=2,"N","⚉"))</f>
        <v>🌑</v>
      </c>
      <c r="L73" s="502">
        <f t="shared" si="11"/>
        <v>70</v>
      </c>
      <c r="M73" s="210">
        <v>10</v>
      </c>
      <c r="N73" s="210">
        <v>3</v>
      </c>
      <c r="O73" s="210" t="s">
        <v>124</v>
      </c>
      <c r="P73" s="210" t="str">
        <f>IF(Introduction!$E$7=1,CONCATENATE("🍻 ",O73),IF(Introduction!$E$7=2,CONCATENATE("Fêtons ",O73),CONCATENATE("✓ ",O73)))</f>
        <v>🍻 Vivien</v>
      </c>
      <c r="R73" s="381">
        <f t="shared" si="10"/>
        <v>47484</v>
      </c>
      <c r="S73" s="381">
        <f t="shared" si="10"/>
        <v>47484</v>
      </c>
      <c r="T73" s="381">
        <f t="shared" si="10"/>
        <v>47484</v>
      </c>
      <c r="U73" s="385"/>
      <c r="V73" s="383">
        <v>47484</v>
      </c>
      <c r="W73" s="383">
        <v>47484</v>
      </c>
      <c r="X73" s="383">
        <v>47484</v>
      </c>
      <c r="Y73" s="383">
        <v>47484</v>
      </c>
      <c r="Z73" s="383">
        <v>47484</v>
      </c>
      <c r="AA73" s="383">
        <v>47484</v>
      </c>
      <c r="AB73" s="383">
        <v>47484</v>
      </c>
      <c r="AC73" s="383">
        <v>47484</v>
      </c>
      <c r="AD73" s="383">
        <v>47484</v>
      </c>
      <c r="AE73" s="383">
        <v>47484</v>
      </c>
      <c r="AF73" s="383">
        <v>47484</v>
      </c>
      <c r="AG73" s="383">
        <v>47484</v>
      </c>
      <c r="AH73" s="383"/>
    </row>
    <row r="74" spans="2:34" x14ac:dyDescent="0.2">
      <c r="B74" s="9"/>
      <c r="C74" s="10" t="str">
        <f t="shared" si="8"/>
        <v/>
      </c>
      <c r="D74" s="11" t="str">
        <f>IF(Introduction!G92="","",Introduction!G92)</f>
        <v/>
      </c>
      <c r="E74" s="89" t="str">
        <f>IF(Introduction!H92="","",Introduction!H92)</f>
        <v/>
      </c>
      <c r="F74" s="62"/>
      <c r="I74" s="209">
        <v>41412</v>
      </c>
      <c r="J74" s="418" t="str">
        <f>IF(Introduction!$E$7=1,"🌓",IF(Introduction!$E$7=2,"P","☽"))</f>
        <v>🌓</v>
      </c>
      <c r="L74" s="502">
        <f t="shared" si="11"/>
        <v>71</v>
      </c>
      <c r="M74" s="210">
        <v>11</v>
      </c>
      <c r="N74" s="210">
        <v>3</v>
      </c>
      <c r="O74" s="210" t="s">
        <v>125</v>
      </c>
      <c r="P74" s="210" t="str">
        <f>IF(Introduction!$E$7=1,CONCATENATE("🍻 ",O74),IF(Introduction!$E$7=2,CONCATENATE("Fêtons ",O74),CONCATENATE("✓ ",O74)))</f>
        <v>🍻 Euloge, Rosine</v>
      </c>
      <c r="R74" s="381">
        <f t="shared" si="10"/>
        <v>47484</v>
      </c>
      <c r="S74" s="381">
        <f t="shared" si="10"/>
        <v>47484</v>
      </c>
      <c r="T74" s="381">
        <f t="shared" si="10"/>
        <v>47484</v>
      </c>
      <c r="U74" s="385"/>
      <c r="V74" s="383">
        <v>47484</v>
      </c>
      <c r="W74" s="383">
        <v>47484</v>
      </c>
      <c r="X74" s="383">
        <v>47484</v>
      </c>
      <c r="Y74" s="383">
        <v>47484</v>
      </c>
      <c r="Z74" s="383">
        <v>47484</v>
      </c>
      <c r="AA74" s="383">
        <v>47484</v>
      </c>
      <c r="AB74" s="383">
        <v>47484</v>
      </c>
      <c r="AC74" s="383">
        <v>47484</v>
      </c>
      <c r="AD74" s="383">
        <v>47484</v>
      </c>
      <c r="AE74" s="383">
        <v>47484</v>
      </c>
      <c r="AF74" s="383">
        <v>47484</v>
      </c>
      <c r="AG74" s="383">
        <v>47484</v>
      </c>
      <c r="AH74" s="383"/>
    </row>
    <row r="75" spans="2:34" x14ac:dyDescent="0.2">
      <c r="B75" s="9"/>
      <c r="C75" s="10" t="str">
        <f t="shared" si="8"/>
        <v/>
      </c>
      <c r="D75" s="11" t="str">
        <f>IF(Introduction!G93="","",Introduction!G93)</f>
        <v/>
      </c>
      <c r="E75" s="89" t="str">
        <f>IF(Introduction!H93="","",Introduction!H93)</f>
        <v/>
      </c>
      <c r="F75" s="62"/>
      <c r="I75" s="209">
        <v>41419</v>
      </c>
      <c r="J75" s="418" t="str">
        <f>IF(Introduction!$E$7=1,"🌕",IF(Introduction!$E$7=2,"O","⚇"))</f>
        <v>🌕</v>
      </c>
      <c r="L75" s="502">
        <f t="shared" si="11"/>
        <v>72</v>
      </c>
      <c r="M75" s="210">
        <v>12</v>
      </c>
      <c r="N75" s="210">
        <v>3</v>
      </c>
      <c r="O75" s="210" t="s">
        <v>126</v>
      </c>
      <c r="P75" s="210" t="str">
        <f>IF(Introduction!$E$7=1,CONCATENATE("🍻 ",O75),IF(Introduction!$E$7=2,CONCATENATE("Fêtons ",O75),CONCATENATE("✓ ",O75)))</f>
        <v>🍻 Justine, Pol</v>
      </c>
      <c r="R75" s="381">
        <f t="shared" si="10"/>
        <v>47484</v>
      </c>
      <c r="S75" s="381">
        <f t="shared" si="10"/>
        <v>47484</v>
      </c>
      <c r="T75" s="381">
        <f t="shared" si="10"/>
        <v>47484</v>
      </c>
      <c r="U75" s="385"/>
      <c r="V75" s="383">
        <v>47484</v>
      </c>
      <c r="W75" s="383">
        <v>47484</v>
      </c>
      <c r="X75" s="383">
        <v>47484</v>
      </c>
      <c r="Y75" s="383">
        <v>47484</v>
      </c>
      <c r="Z75" s="383">
        <v>47484</v>
      </c>
      <c r="AA75" s="383">
        <v>47484</v>
      </c>
      <c r="AB75" s="383">
        <v>47484</v>
      </c>
      <c r="AC75" s="383">
        <v>47484</v>
      </c>
      <c r="AD75" s="383">
        <v>47484</v>
      </c>
      <c r="AE75" s="383">
        <v>47484</v>
      </c>
      <c r="AF75" s="383">
        <v>47484</v>
      </c>
      <c r="AG75" s="383">
        <v>47484</v>
      </c>
      <c r="AH75" s="383"/>
    </row>
    <row r="76" spans="2:34" x14ac:dyDescent="0.2">
      <c r="B76" s="9"/>
      <c r="C76" s="10" t="str">
        <f t="shared" si="8"/>
        <v/>
      </c>
      <c r="D76" s="11" t="str">
        <f>IF(Introduction!G94="","",Introduction!G94)</f>
        <v/>
      </c>
      <c r="E76" s="89" t="str">
        <f>IF(Introduction!H94="","",Introduction!H94)</f>
        <v/>
      </c>
      <c r="F76" s="62"/>
      <c r="I76" s="209">
        <v>41425</v>
      </c>
      <c r="J76" s="418" t="str">
        <f>IF(Introduction!$E$7=1,"🌗",IF(Introduction!$E$7=2,"D","☾"))</f>
        <v>🌗</v>
      </c>
      <c r="L76" s="502">
        <f t="shared" si="11"/>
        <v>73</v>
      </c>
      <c r="M76" s="210">
        <v>13</v>
      </c>
      <c r="N76" s="210">
        <v>3</v>
      </c>
      <c r="O76" s="210" t="s">
        <v>127</v>
      </c>
      <c r="P76" s="210" t="str">
        <f>IF(Introduction!$E$7=1,CONCATENATE("🍻 ",O76),IF(Introduction!$E$7=2,CONCATENATE("Fêtons ",O76),CONCATENATE("✓ ",O76)))</f>
        <v>🍻 Rodrigue</v>
      </c>
      <c r="R76" s="381">
        <f t="shared" si="10"/>
        <v>47484</v>
      </c>
      <c r="S76" s="381">
        <f t="shared" si="10"/>
        <v>47484</v>
      </c>
      <c r="T76" s="381">
        <f t="shared" si="10"/>
        <v>47484</v>
      </c>
      <c r="U76" s="385"/>
      <c r="V76" s="383">
        <v>47484</v>
      </c>
      <c r="W76" s="383">
        <v>47484</v>
      </c>
      <c r="X76" s="383">
        <v>47484</v>
      </c>
      <c r="Y76" s="383">
        <v>47484</v>
      </c>
      <c r="Z76" s="383">
        <v>47484</v>
      </c>
      <c r="AA76" s="383">
        <v>47484</v>
      </c>
      <c r="AB76" s="383">
        <v>47484</v>
      </c>
      <c r="AC76" s="383">
        <v>47484</v>
      </c>
      <c r="AD76" s="383">
        <v>47484</v>
      </c>
      <c r="AE76" s="383">
        <v>47484</v>
      </c>
      <c r="AF76" s="383">
        <v>47484</v>
      </c>
      <c r="AG76" s="383">
        <v>47484</v>
      </c>
      <c r="AH76" s="383"/>
    </row>
    <row r="77" spans="2:34" ht="17" thickBot="1" x14ac:dyDescent="0.25">
      <c r="B77" s="18"/>
      <c r="C77" s="88" t="str">
        <f t="shared" si="8"/>
        <v/>
      </c>
      <c r="D77" s="81" t="str">
        <f>IF(Introduction!G95="","",Introduction!G95)</f>
        <v/>
      </c>
      <c r="E77" s="90" t="str">
        <f>IF(Introduction!H95="","",Introduction!H95)</f>
        <v/>
      </c>
      <c r="F77" s="82"/>
      <c r="I77" s="209">
        <v>41433</v>
      </c>
      <c r="J77" s="418" t="str">
        <f>IF(Introduction!$E$7=1,"🌑",IF(Introduction!$E$7=2,"N","⚉"))</f>
        <v>🌑</v>
      </c>
      <c r="L77" s="502">
        <f t="shared" si="11"/>
        <v>74</v>
      </c>
      <c r="M77" s="210">
        <v>14</v>
      </c>
      <c r="N77" s="210">
        <v>3</v>
      </c>
      <c r="O77" s="210" t="s">
        <v>128</v>
      </c>
      <c r="P77" s="210" t="str">
        <f>IF(Introduction!$E$7=1,CONCATENATE("🍻 ",O77),IF(Introduction!$E$7=2,CONCATENATE("Fêtons ",O77),CONCATENATE("✓ ",O77)))</f>
        <v>🍻 Mahaut, Mathilde, Maud</v>
      </c>
      <c r="R77" s="381">
        <f t="shared" si="10"/>
        <v>47484</v>
      </c>
      <c r="S77" s="381">
        <f t="shared" si="10"/>
        <v>47484</v>
      </c>
      <c r="T77" s="381">
        <f t="shared" si="10"/>
        <v>47484</v>
      </c>
      <c r="U77" s="385"/>
      <c r="V77" s="383">
        <v>47484</v>
      </c>
      <c r="W77" s="383">
        <v>47484</v>
      </c>
      <c r="X77" s="383">
        <v>47484</v>
      </c>
      <c r="Y77" s="383">
        <v>47484</v>
      </c>
      <c r="Z77" s="383">
        <v>47484</v>
      </c>
      <c r="AA77" s="383">
        <v>47484</v>
      </c>
      <c r="AB77" s="383">
        <v>47484</v>
      </c>
      <c r="AC77" s="383">
        <v>47484</v>
      </c>
      <c r="AD77" s="383">
        <v>47484</v>
      </c>
      <c r="AE77" s="383">
        <v>47484</v>
      </c>
      <c r="AF77" s="383">
        <v>47484</v>
      </c>
      <c r="AG77" s="383">
        <v>47484</v>
      </c>
      <c r="AH77" s="383"/>
    </row>
    <row r="78" spans="2:34" x14ac:dyDescent="0.2">
      <c r="I78" s="209">
        <v>41441</v>
      </c>
      <c r="J78" s="418" t="str">
        <f>IF(Introduction!$E$7=1,"🌓",IF(Introduction!$E$7=2,"P","☽"))</f>
        <v>🌓</v>
      </c>
      <c r="L78" s="502">
        <f t="shared" si="11"/>
        <v>75</v>
      </c>
      <c r="M78" s="210">
        <v>15</v>
      </c>
      <c r="N78" s="210">
        <v>3</v>
      </c>
      <c r="O78" s="210" t="s">
        <v>129</v>
      </c>
      <c r="P78" s="210" t="str">
        <f>IF(Introduction!$E$7=1,CONCATENATE("🍻 ",O78),IF(Introduction!$E$7=2,CONCATENATE("Fêtons ",O78),CONCATENATE("✓ ",O78)))</f>
        <v>🍻 Louise</v>
      </c>
      <c r="R78" s="381">
        <f t="shared" si="10"/>
        <v>47484</v>
      </c>
      <c r="S78" s="381">
        <f t="shared" si="10"/>
        <v>47484</v>
      </c>
      <c r="T78" s="381">
        <f t="shared" si="10"/>
        <v>47484</v>
      </c>
      <c r="U78" s="385"/>
      <c r="V78" s="383">
        <v>47484</v>
      </c>
      <c r="W78" s="383">
        <v>47484</v>
      </c>
      <c r="X78" s="383">
        <v>47484</v>
      </c>
      <c r="Y78" s="383">
        <v>47484</v>
      </c>
      <c r="Z78" s="383">
        <v>47484</v>
      </c>
      <c r="AA78" s="383">
        <v>47484</v>
      </c>
      <c r="AB78" s="383">
        <v>47484</v>
      </c>
      <c r="AC78" s="383">
        <v>47484</v>
      </c>
      <c r="AD78" s="383">
        <v>47484</v>
      </c>
      <c r="AE78" s="383">
        <v>47484</v>
      </c>
      <c r="AF78" s="383">
        <v>47484</v>
      </c>
      <c r="AG78" s="383">
        <v>47484</v>
      </c>
      <c r="AH78" s="383"/>
    </row>
    <row r="79" spans="2:34" x14ac:dyDescent="0.2">
      <c r="I79" s="209">
        <v>41448</v>
      </c>
      <c r="J79" s="418" t="str">
        <f>IF(Introduction!$E$7=1,"🌕",IF(Introduction!$E$7=2,"O","⚇"))</f>
        <v>🌕</v>
      </c>
      <c r="L79" s="502">
        <f t="shared" si="11"/>
        <v>76</v>
      </c>
      <c r="M79" s="210">
        <v>16</v>
      </c>
      <c r="N79" s="210">
        <v>3</v>
      </c>
      <c r="O79" s="210" t="s">
        <v>130</v>
      </c>
      <c r="P79" s="210" t="str">
        <f>IF(Introduction!$E$7=1,CONCATENATE("🍻 ",O79),IF(Introduction!$E$7=2,CONCATENATE("Fêtons ",O79),CONCATENATE("✓ ",O79)))</f>
        <v>🍻 Bénédicte</v>
      </c>
      <c r="R79" s="381">
        <f t="shared" si="10"/>
        <v>47484</v>
      </c>
      <c r="S79" s="381">
        <f t="shared" si="10"/>
        <v>47484</v>
      </c>
      <c r="T79" s="381">
        <f t="shared" si="10"/>
        <v>47484</v>
      </c>
      <c r="U79" s="385"/>
      <c r="V79" s="383">
        <v>47484</v>
      </c>
      <c r="W79" s="383">
        <v>47484</v>
      </c>
      <c r="X79" s="383">
        <v>47484</v>
      </c>
      <c r="Y79" s="383">
        <v>47484</v>
      </c>
      <c r="Z79" s="383">
        <v>47484</v>
      </c>
      <c r="AA79" s="383">
        <v>47484</v>
      </c>
      <c r="AB79" s="383">
        <v>47484</v>
      </c>
      <c r="AC79" s="383">
        <v>47484</v>
      </c>
      <c r="AD79" s="383">
        <v>47484</v>
      </c>
      <c r="AE79" s="383">
        <v>47484</v>
      </c>
      <c r="AF79" s="383">
        <v>47484</v>
      </c>
      <c r="AG79" s="383">
        <v>47484</v>
      </c>
      <c r="AH79" s="383"/>
    </row>
    <row r="80" spans="2:34" x14ac:dyDescent="0.2">
      <c r="I80" s="209">
        <v>41455</v>
      </c>
      <c r="J80" s="418" t="str">
        <f>IF(Introduction!$E$7=1,"🌗",IF(Introduction!$E$7=2,"D","☾"))</f>
        <v>🌗</v>
      </c>
      <c r="L80" s="502">
        <f t="shared" si="11"/>
        <v>77</v>
      </c>
      <c r="M80" s="210">
        <v>17</v>
      </c>
      <c r="N80" s="210">
        <v>3</v>
      </c>
      <c r="O80" s="210" t="s">
        <v>131</v>
      </c>
      <c r="P80" s="210" t="str">
        <f>IF(Introduction!$E$7=1,CONCATENATE("🍻 ",O80),IF(Introduction!$E$7=2,CONCATENATE("Fêtons ",O80),CONCATENATE("✓ ",O80)))</f>
        <v>🍻 Patrice, Patrick</v>
      </c>
      <c r="R80" s="381">
        <f t="shared" si="10"/>
        <v>47484</v>
      </c>
      <c r="S80" s="381">
        <f t="shared" si="10"/>
        <v>47484</v>
      </c>
      <c r="T80" s="381">
        <f t="shared" si="10"/>
        <v>47484</v>
      </c>
      <c r="U80" s="385"/>
      <c r="V80" s="383">
        <v>47484</v>
      </c>
      <c r="W80" s="383">
        <v>47484</v>
      </c>
      <c r="X80" s="383">
        <v>47484</v>
      </c>
      <c r="Y80" s="383">
        <v>47484</v>
      </c>
      <c r="Z80" s="383">
        <v>47484</v>
      </c>
      <c r="AA80" s="383">
        <v>47484</v>
      </c>
      <c r="AB80" s="383">
        <v>47484</v>
      </c>
      <c r="AC80" s="383">
        <v>47484</v>
      </c>
      <c r="AD80" s="383">
        <v>47484</v>
      </c>
      <c r="AE80" s="383">
        <v>47484</v>
      </c>
      <c r="AF80" s="383">
        <v>47484</v>
      </c>
      <c r="AG80" s="383">
        <v>47484</v>
      </c>
      <c r="AH80" s="383"/>
    </row>
    <row r="81" spans="2:34" ht="17" thickBot="1" x14ac:dyDescent="0.25">
      <c r="G81" s="174"/>
      <c r="I81" s="209">
        <v>41463</v>
      </c>
      <c r="J81" s="418" t="str">
        <f>IF(Introduction!$E$7=1,"🌑",IF(Introduction!$E$7=2,"N","⚉"))</f>
        <v>🌑</v>
      </c>
      <c r="L81" s="502">
        <f t="shared" si="11"/>
        <v>78</v>
      </c>
      <c r="M81" s="210">
        <v>18</v>
      </c>
      <c r="N81" s="210">
        <v>3</v>
      </c>
      <c r="O81" s="210" t="s">
        <v>132</v>
      </c>
      <c r="P81" s="210" t="str">
        <f>IF(Introduction!$E$7=1,CONCATENATE("🍻 ",O81),IF(Introduction!$E$7=2,CONCATENATE("Fêtons ",O81),CONCATENATE("✓ ",O81)))</f>
        <v>🍻 Cyrille</v>
      </c>
      <c r="R81" s="381">
        <f t="shared" si="10"/>
        <v>47484</v>
      </c>
      <c r="S81" s="381">
        <f t="shared" si="10"/>
        <v>47484</v>
      </c>
      <c r="T81" s="381">
        <f t="shared" si="10"/>
        <v>47484</v>
      </c>
      <c r="U81" s="385"/>
      <c r="V81" s="383">
        <v>47484</v>
      </c>
      <c r="W81" s="383">
        <v>47484</v>
      </c>
      <c r="X81" s="383">
        <v>47484</v>
      </c>
      <c r="Y81" s="383">
        <v>47484</v>
      </c>
      <c r="Z81" s="383">
        <v>47484</v>
      </c>
      <c r="AA81" s="383">
        <v>47484</v>
      </c>
      <c r="AB81" s="383">
        <v>47484</v>
      </c>
      <c r="AC81" s="383">
        <v>47484</v>
      </c>
      <c r="AD81" s="383">
        <v>47484</v>
      </c>
      <c r="AE81" s="383">
        <v>47484</v>
      </c>
      <c r="AF81" s="383">
        <v>47484</v>
      </c>
      <c r="AG81" s="383">
        <v>47484</v>
      </c>
      <c r="AH81" s="383"/>
    </row>
    <row r="82" spans="2:34" x14ac:dyDescent="0.2">
      <c r="B82" s="8" t="s">
        <v>7</v>
      </c>
      <c r="C82" s="19">
        <v>1</v>
      </c>
      <c r="D82" s="20" t="s">
        <v>15</v>
      </c>
      <c r="G82" s="174"/>
      <c r="I82" s="209">
        <v>41471</v>
      </c>
      <c r="J82" s="418" t="str">
        <f>IF(Introduction!$E$7=1,"🌓",IF(Introduction!$E$7=2,"P","☽"))</f>
        <v>🌓</v>
      </c>
      <c r="L82" s="502">
        <f t="shared" si="11"/>
        <v>79</v>
      </c>
      <c r="M82" s="210">
        <v>19</v>
      </c>
      <c r="N82" s="210">
        <v>3</v>
      </c>
      <c r="O82" s="210" t="s">
        <v>133</v>
      </c>
      <c r="P82" s="210" t="str">
        <f>IF(Introduction!$E$7=1,CONCATENATE("🍻 ",O82),IF(Introduction!$E$7=2,CONCATENATE("Fêtons ",O82),CONCATENATE("✓ ",O82)))</f>
        <v>🍻 Joseph</v>
      </c>
      <c r="R82" s="381">
        <f t="shared" si="10"/>
        <v>47484</v>
      </c>
      <c r="S82" s="381">
        <f t="shared" si="10"/>
        <v>47484</v>
      </c>
      <c r="T82" s="381">
        <f t="shared" si="10"/>
        <v>47484</v>
      </c>
      <c r="U82" s="385"/>
      <c r="V82" s="383">
        <v>47484</v>
      </c>
      <c r="W82" s="383">
        <v>47484</v>
      </c>
      <c r="X82" s="383">
        <v>47484</v>
      </c>
      <c r="Y82" s="383">
        <v>47484</v>
      </c>
      <c r="Z82" s="383">
        <v>47484</v>
      </c>
      <c r="AA82" s="383">
        <v>47484</v>
      </c>
      <c r="AB82" s="383">
        <v>47484</v>
      </c>
      <c r="AC82" s="383">
        <v>47484</v>
      </c>
      <c r="AD82" s="383">
        <v>47484</v>
      </c>
      <c r="AE82" s="383">
        <v>47484</v>
      </c>
      <c r="AF82" s="383">
        <v>47484</v>
      </c>
      <c r="AG82" s="383">
        <v>47484</v>
      </c>
      <c r="AH82" s="383"/>
    </row>
    <row r="83" spans="2:34" x14ac:dyDescent="0.2">
      <c r="B83" s="9"/>
      <c r="C83" s="21">
        <v>2</v>
      </c>
      <c r="D83" s="22" t="s">
        <v>16</v>
      </c>
      <c r="G83" s="174"/>
      <c r="I83" s="209">
        <v>41477</v>
      </c>
      <c r="J83" s="418" t="str">
        <f>IF(Introduction!$E$7=1,"🌕",IF(Introduction!$E$7=2,"O","⚇"))</f>
        <v>🌕</v>
      </c>
      <c r="L83" s="502">
        <f t="shared" si="11"/>
        <v>80</v>
      </c>
      <c r="M83" s="210">
        <v>20</v>
      </c>
      <c r="N83" s="210">
        <v>3</v>
      </c>
      <c r="O83" s="210" t="s">
        <v>134</v>
      </c>
      <c r="P83" s="210" t="str">
        <f>IF(Introduction!$E$7=1,CONCATENATE("🍻 ",O83),IF(Introduction!$E$7=2,CONCATENATE("Fêtons ",O83),CONCATENATE("✓ ",O83)))</f>
        <v>🍻 Herbert</v>
      </c>
      <c r="R83" s="381">
        <f t="shared" si="10"/>
        <v>47484</v>
      </c>
      <c r="S83" s="381">
        <f t="shared" si="10"/>
        <v>47484</v>
      </c>
      <c r="T83" s="381">
        <f t="shared" si="10"/>
        <v>47484</v>
      </c>
      <c r="U83" s="385"/>
      <c r="V83" s="383">
        <v>47484</v>
      </c>
      <c r="W83" s="383">
        <v>47484</v>
      </c>
      <c r="X83" s="383">
        <v>47484</v>
      </c>
      <c r="Y83" s="383">
        <v>47484</v>
      </c>
      <c r="Z83" s="383">
        <v>47484</v>
      </c>
      <c r="AA83" s="383">
        <v>47484</v>
      </c>
      <c r="AB83" s="383">
        <v>47484</v>
      </c>
      <c r="AC83" s="383">
        <v>47484</v>
      </c>
      <c r="AD83" s="383">
        <v>47484</v>
      </c>
      <c r="AE83" s="383">
        <v>47484</v>
      </c>
      <c r="AF83" s="383">
        <v>47484</v>
      </c>
      <c r="AG83" s="383">
        <v>47484</v>
      </c>
      <c r="AH83" s="383"/>
    </row>
    <row r="84" spans="2:34" x14ac:dyDescent="0.2">
      <c r="B84" s="9"/>
      <c r="C84" s="21">
        <v>3</v>
      </c>
      <c r="D84" s="22" t="s">
        <v>17</v>
      </c>
      <c r="G84" s="174"/>
      <c r="I84" s="209">
        <v>41484</v>
      </c>
      <c r="J84" s="418" t="str">
        <f>IF(Introduction!$E$7=1,"🌗",IF(Introduction!$E$7=2,"D","☾"))</f>
        <v>🌗</v>
      </c>
      <c r="L84" s="502">
        <f t="shared" si="11"/>
        <v>81</v>
      </c>
      <c r="M84" s="210">
        <v>21</v>
      </c>
      <c r="N84" s="210">
        <v>3</v>
      </c>
      <c r="O84" s="210" t="s">
        <v>135</v>
      </c>
      <c r="P84" s="210" t="str">
        <f>IF(Introduction!$E$7=1,CONCATENATE("🍻 ",O84),IF(Introduction!$E$7=2,CONCATENATE("Fêtons ",O84),CONCATENATE("✓ ",O84)))</f>
        <v>🍻 Axelle, Clémence</v>
      </c>
      <c r="R84" s="381">
        <f t="shared" ref="R84:T93" si="12">INDEX($U84:$AH84,1,MATCH(R$3,$U$3:$AH$3,0))</f>
        <v>47484</v>
      </c>
      <c r="S84" s="381">
        <f t="shared" si="12"/>
        <v>47484</v>
      </c>
      <c r="T84" s="381">
        <f t="shared" si="12"/>
        <v>47484</v>
      </c>
      <c r="U84" s="385"/>
      <c r="V84" s="383">
        <v>47484</v>
      </c>
      <c r="W84" s="383">
        <v>47484</v>
      </c>
      <c r="X84" s="383">
        <v>47484</v>
      </c>
      <c r="Y84" s="383">
        <v>47484</v>
      </c>
      <c r="Z84" s="383">
        <v>47484</v>
      </c>
      <c r="AA84" s="383">
        <v>47484</v>
      </c>
      <c r="AB84" s="383">
        <v>47484</v>
      </c>
      <c r="AC84" s="383">
        <v>47484</v>
      </c>
      <c r="AD84" s="383">
        <v>47484</v>
      </c>
      <c r="AE84" s="383">
        <v>47484</v>
      </c>
      <c r="AF84" s="383">
        <v>47484</v>
      </c>
      <c r="AG84" s="383">
        <v>47484</v>
      </c>
      <c r="AH84" s="383"/>
    </row>
    <row r="85" spans="2:34" x14ac:dyDescent="0.2">
      <c r="B85" s="9"/>
      <c r="C85" s="21">
        <v>4</v>
      </c>
      <c r="D85" s="22" t="s">
        <v>18</v>
      </c>
      <c r="G85" s="174"/>
      <c r="I85" s="209">
        <v>41492</v>
      </c>
      <c r="J85" s="418" t="str">
        <f>IF(Introduction!$E$7=1,"🌑",IF(Introduction!$E$7=2,"N","⚉"))</f>
        <v>🌑</v>
      </c>
      <c r="L85" s="502">
        <f t="shared" si="11"/>
        <v>82</v>
      </c>
      <c r="M85" s="210">
        <v>22</v>
      </c>
      <c r="N85" s="210">
        <v>3</v>
      </c>
      <c r="O85" s="210" t="s">
        <v>136</v>
      </c>
      <c r="P85" s="210" t="str">
        <f>IF(Introduction!$E$7=1,CONCATENATE("🍻 ",O85),IF(Introduction!$E$7=2,CONCATENATE("Fêtons ",O85),CONCATENATE("✓ ",O85)))</f>
        <v>🍻 Léa</v>
      </c>
      <c r="R85" s="381">
        <f t="shared" si="12"/>
        <v>47484</v>
      </c>
      <c r="S85" s="381">
        <f t="shared" si="12"/>
        <v>47484</v>
      </c>
      <c r="T85" s="381">
        <f t="shared" si="12"/>
        <v>47484</v>
      </c>
      <c r="U85" s="385"/>
      <c r="V85" s="383">
        <v>47484</v>
      </c>
      <c r="W85" s="383">
        <v>47484</v>
      </c>
      <c r="X85" s="383">
        <v>47484</v>
      </c>
      <c r="Y85" s="383">
        <v>47484</v>
      </c>
      <c r="Z85" s="383">
        <v>47484</v>
      </c>
      <c r="AA85" s="383">
        <v>47484</v>
      </c>
      <c r="AB85" s="383">
        <v>47484</v>
      </c>
      <c r="AC85" s="383">
        <v>47484</v>
      </c>
      <c r="AD85" s="383">
        <v>47484</v>
      </c>
      <c r="AE85" s="383">
        <v>47484</v>
      </c>
      <c r="AF85" s="383">
        <v>47484</v>
      </c>
      <c r="AG85" s="383">
        <v>47484</v>
      </c>
      <c r="AH85" s="383"/>
    </row>
    <row r="86" spans="2:34" x14ac:dyDescent="0.2">
      <c r="B86" s="9"/>
      <c r="C86" s="21">
        <v>5</v>
      </c>
      <c r="D86" s="22" t="s">
        <v>19</v>
      </c>
      <c r="G86" s="174"/>
      <c r="I86" s="209">
        <v>41500</v>
      </c>
      <c r="J86" s="418" t="str">
        <f>IF(Introduction!$E$7=1,"🌓",IF(Introduction!$E$7=2,"P","☽"))</f>
        <v>🌓</v>
      </c>
      <c r="L86" s="502">
        <f t="shared" si="11"/>
        <v>83</v>
      </c>
      <c r="M86" s="210">
        <v>23</v>
      </c>
      <c r="N86" s="210">
        <v>3</v>
      </c>
      <c r="O86" s="210" t="s">
        <v>137</v>
      </c>
      <c r="P86" s="210" t="str">
        <f>IF(Introduction!$E$7=1,CONCATENATE("🍻 ",O86),IF(Introduction!$E$7=2,CONCATENATE("Fêtons ",O86),CONCATENATE("✓ ",O86)))</f>
        <v>🍻 Rebecca, Victorien</v>
      </c>
      <c r="R86" s="381">
        <f t="shared" si="12"/>
        <v>47484</v>
      </c>
      <c r="S86" s="381">
        <f t="shared" si="12"/>
        <v>47484</v>
      </c>
      <c r="T86" s="381">
        <f t="shared" si="12"/>
        <v>47484</v>
      </c>
      <c r="U86" s="385"/>
      <c r="V86" s="383">
        <v>47484</v>
      </c>
      <c r="W86" s="383">
        <v>47484</v>
      </c>
      <c r="X86" s="383">
        <v>47484</v>
      </c>
      <c r="Y86" s="383">
        <v>47484</v>
      </c>
      <c r="Z86" s="383">
        <v>47484</v>
      </c>
      <c r="AA86" s="383">
        <v>47484</v>
      </c>
      <c r="AB86" s="383">
        <v>47484</v>
      </c>
      <c r="AC86" s="383">
        <v>47484</v>
      </c>
      <c r="AD86" s="383">
        <v>47484</v>
      </c>
      <c r="AE86" s="383">
        <v>47484</v>
      </c>
      <c r="AF86" s="383">
        <v>47484</v>
      </c>
      <c r="AG86" s="383">
        <v>47484</v>
      </c>
      <c r="AH86" s="383"/>
    </row>
    <row r="87" spans="2:34" x14ac:dyDescent="0.2">
      <c r="B87" s="9"/>
      <c r="C87" s="21">
        <v>6</v>
      </c>
      <c r="D87" s="22" t="s">
        <v>20</v>
      </c>
      <c r="G87" s="148"/>
      <c r="I87" s="209">
        <v>41507</v>
      </c>
      <c r="J87" s="418" t="str">
        <f>IF(Introduction!$E$7=1,"🌕",IF(Introduction!$E$7=2,"O","⚇"))</f>
        <v>🌕</v>
      </c>
      <c r="L87" s="502">
        <f t="shared" si="11"/>
        <v>84</v>
      </c>
      <c r="M87" s="210">
        <v>24</v>
      </c>
      <c r="N87" s="210">
        <v>3</v>
      </c>
      <c r="O87" s="210" t="s">
        <v>138</v>
      </c>
      <c r="P87" s="210" t="str">
        <f>IF(Introduction!$E$7=1,CONCATENATE("🍻 ",O87),IF(Introduction!$E$7=2,CONCATENATE("Fêtons ",O87),CONCATENATE("✓ ",O87)))</f>
        <v>🍻 Catherine, Karine</v>
      </c>
      <c r="R87" s="381">
        <f t="shared" si="12"/>
        <v>47484</v>
      </c>
      <c r="S87" s="381">
        <f t="shared" si="12"/>
        <v>47484</v>
      </c>
      <c r="T87" s="381">
        <f t="shared" si="12"/>
        <v>47484</v>
      </c>
      <c r="U87" s="385"/>
      <c r="V87" s="383">
        <v>47484</v>
      </c>
      <c r="W87" s="383">
        <v>47484</v>
      </c>
      <c r="X87" s="383">
        <v>47484</v>
      </c>
      <c r="Y87" s="383">
        <v>47484</v>
      </c>
      <c r="Z87" s="383">
        <v>47484</v>
      </c>
      <c r="AA87" s="383">
        <v>47484</v>
      </c>
      <c r="AB87" s="383">
        <v>47484</v>
      </c>
      <c r="AC87" s="383">
        <v>47484</v>
      </c>
      <c r="AD87" s="383">
        <v>47484</v>
      </c>
      <c r="AE87" s="383">
        <v>47484</v>
      </c>
      <c r="AF87" s="383">
        <v>47484</v>
      </c>
      <c r="AG87" s="383">
        <v>47484</v>
      </c>
      <c r="AH87" s="383"/>
    </row>
    <row r="88" spans="2:34" ht="17" thickBot="1" x14ac:dyDescent="0.25">
      <c r="B88" s="18"/>
      <c r="C88" s="23">
        <v>7</v>
      </c>
      <c r="D88" s="24" t="s">
        <v>21</v>
      </c>
      <c r="G88" s="148"/>
      <c r="I88" s="209">
        <v>41514</v>
      </c>
      <c r="J88" s="418" t="str">
        <f>IF(Introduction!$E$7=1,"🌗",IF(Introduction!$E$7=2,"D","☾"))</f>
        <v>🌗</v>
      </c>
      <c r="L88" s="502">
        <f t="shared" si="11"/>
        <v>85</v>
      </c>
      <c r="M88" s="210">
        <v>25</v>
      </c>
      <c r="N88" s="210">
        <v>3</v>
      </c>
      <c r="O88" s="210" t="s">
        <v>139</v>
      </c>
      <c r="P88" s="210" t="str">
        <f>IF(Introduction!$E$7=1,CONCATENATE("🍻 ",O88),IF(Introduction!$E$7=2,CONCATENATE("Fêtons ",O88),CONCATENATE("✓ ",O88)))</f>
        <v>🍻 Humbert</v>
      </c>
      <c r="R88" s="381">
        <f t="shared" si="12"/>
        <v>47484</v>
      </c>
      <c r="S88" s="381">
        <f t="shared" si="12"/>
        <v>47484</v>
      </c>
      <c r="T88" s="381">
        <f t="shared" si="12"/>
        <v>47484</v>
      </c>
      <c r="U88" s="385"/>
      <c r="V88" s="383">
        <v>47484</v>
      </c>
      <c r="W88" s="383">
        <v>47484</v>
      </c>
      <c r="X88" s="383">
        <v>47484</v>
      </c>
      <c r="Y88" s="383">
        <v>47484</v>
      </c>
      <c r="Z88" s="383">
        <v>47484</v>
      </c>
      <c r="AA88" s="383">
        <v>47484</v>
      </c>
      <c r="AB88" s="383">
        <v>47484</v>
      </c>
      <c r="AC88" s="383">
        <v>47484</v>
      </c>
      <c r="AD88" s="383">
        <v>47484</v>
      </c>
      <c r="AE88" s="383">
        <v>47484</v>
      </c>
      <c r="AF88" s="383">
        <v>47484</v>
      </c>
      <c r="AG88" s="383">
        <v>47484</v>
      </c>
      <c r="AH88" s="383"/>
    </row>
    <row r="89" spans="2:34" ht="17" thickBot="1" x14ac:dyDescent="0.25">
      <c r="G89" s="148"/>
      <c r="I89" s="209">
        <v>41522</v>
      </c>
      <c r="J89" s="418" t="str">
        <f>IF(Introduction!$E$7=1,"🌑",IF(Introduction!$E$7=2,"N","⚉"))</f>
        <v>🌑</v>
      </c>
      <c r="L89" s="502">
        <f t="shared" si="11"/>
        <v>86</v>
      </c>
      <c r="M89" s="210">
        <v>26</v>
      </c>
      <c r="N89" s="210">
        <v>3</v>
      </c>
      <c r="O89" s="210" t="s">
        <v>140</v>
      </c>
      <c r="P89" s="210" t="str">
        <f>IF(Introduction!$E$7=1,CONCATENATE("🍻 ",O89),IF(Introduction!$E$7=2,CONCATENATE("Fêtons ",O89),CONCATENATE("✓ ",O89)))</f>
        <v>🍻 Larissa</v>
      </c>
      <c r="R89" s="381">
        <f t="shared" si="12"/>
        <v>47484</v>
      </c>
      <c r="S89" s="381">
        <f t="shared" si="12"/>
        <v>47484</v>
      </c>
      <c r="T89" s="381">
        <f t="shared" si="12"/>
        <v>47484</v>
      </c>
      <c r="U89" s="385"/>
      <c r="V89" s="383">
        <v>47484</v>
      </c>
      <c r="W89" s="383">
        <v>47484</v>
      </c>
      <c r="X89" s="383">
        <v>47484</v>
      </c>
      <c r="Y89" s="383">
        <v>47484</v>
      </c>
      <c r="Z89" s="383">
        <v>47484</v>
      </c>
      <c r="AA89" s="383">
        <v>47484</v>
      </c>
      <c r="AB89" s="383">
        <v>47484</v>
      </c>
      <c r="AC89" s="383">
        <v>47484</v>
      </c>
      <c r="AD89" s="383">
        <v>47484</v>
      </c>
      <c r="AE89" s="383">
        <v>47484</v>
      </c>
      <c r="AF89" s="383">
        <v>47484</v>
      </c>
      <c r="AG89" s="383">
        <v>47484</v>
      </c>
      <c r="AH89" s="383"/>
    </row>
    <row r="90" spans="2:34" x14ac:dyDescent="0.2">
      <c r="B90" s="8" t="s">
        <v>38</v>
      </c>
      <c r="C90" s="566">
        <f>Ref_Annee</f>
        <v>2021</v>
      </c>
      <c r="D90" s="567"/>
      <c r="G90" s="148"/>
      <c r="I90" s="209">
        <v>41529</v>
      </c>
      <c r="J90" s="418" t="str">
        <f>IF(Introduction!$E$7=1,"🌓",IF(Introduction!$E$7=2,"P","☽"))</f>
        <v>🌓</v>
      </c>
      <c r="L90" s="502">
        <f t="shared" si="11"/>
        <v>87</v>
      </c>
      <c r="M90" s="210">
        <v>27</v>
      </c>
      <c r="N90" s="210">
        <v>3</v>
      </c>
      <c r="O90" s="210" t="s">
        <v>141</v>
      </c>
      <c r="P90" s="210" t="str">
        <f>IF(Introduction!$E$7=1,CONCATENATE("🍻 ",O90),IF(Introduction!$E$7=2,CONCATENATE("Fêtons ",O90),CONCATENATE("✓ ",O90)))</f>
        <v>🍻 Habib</v>
      </c>
      <c r="R90" s="381">
        <f t="shared" si="12"/>
        <v>47484</v>
      </c>
      <c r="S90" s="381">
        <f t="shared" si="12"/>
        <v>47484</v>
      </c>
      <c r="T90" s="381">
        <f t="shared" si="12"/>
        <v>47484</v>
      </c>
      <c r="U90" s="385"/>
      <c r="V90" s="383">
        <v>47484</v>
      </c>
      <c r="W90" s="383">
        <v>47484</v>
      </c>
      <c r="X90" s="383">
        <v>47484</v>
      </c>
      <c r="Y90" s="383">
        <v>47484</v>
      </c>
      <c r="Z90" s="383">
        <v>47484</v>
      </c>
      <c r="AA90" s="383">
        <v>47484</v>
      </c>
      <c r="AB90" s="383">
        <v>47484</v>
      </c>
      <c r="AC90" s="383">
        <v>47484</v>
      </c>
      <c r="AD90" s="383">
        <v>47484</v>
      </c>
      <c r="AE90" s="383">
        <v>47484</v>
      </c>
      <c r="AF90" s="383">
        <v>47484</v>
      </c>
      <c r="AG90" s="383">
        <v>47484</v>
      </c>
      <c r="AH90" s="383"/>
    </row>
    <row r="91" spans="2:34" x14ac:dyDescent="0.2">
      <c r="B91" s="9" t="s">
        <v>37</v>
      </c>
      <c r="C91" s="564">
        <f>YEAR(Semestriel!AQ73)</f>
        <v>2021</v>
      </c>
      <c r="D91" s="565"/>
      <c r="G91" s="147"/>
      <c r="I91" s="209">
        <v>41536</v>
      </c>
      <c r="J91" s="418" t="str">
        <f>IF(Introduction!$E$7=1,"🌕",IF(Introduction!$E$7=2,"O","⚇"))</f>
        <v>🌕</v>
      </c>
      <c r="L91" s="502">
        <f t="shared" si="11"/>
        <v>88</v>
      </c>
      <c r="M91" s="210">
        <v>28</v>
      </c>
      <c r="N91" s="210">
        <v>3</v>
      </c>
      <c r="O91" s="210" t="s">
        <v>142</v>
      </c>
      <c r="P91" s="210" t="str">
        <f>IF(Introduction!$E$7=1,CONCATENATE("🍻 ",O91),IF(Introduction!$E$7=2,CONCATENATE("Fêtons ",O91),CONCATENATE("✓ ",O91)))</f>
        <v>🍻 Gontran</v>
      </c>
      <c r="R91" s="381">
        <f t="shared" si="12"/>
        <v>47484</v>
      </c>
      <c r="S91" s="381">
        <f t="shared" si="12"/>
        <v>47484</v>
      </c>
      <c r="T91" s="381">
        <f t="shared" si="12"/>
        <v>47484</v>
      </c>
      <c r="U91" s="385"/>
      <c r="V91" s="383">
        <v>47484</v>
      </c>
      <c r="W91" s="383">
        <v>47484</v>
      </c>
      <c r="X91" s="383">
        <v>47484</v>
      </c>
      <c r="Y91" s="383">
        <v>47484</v>
      </c>
      <c r="Z91" s="383">
        <v>47484</v>
      </c>
      <c r="AA91" s="383">
        <v>47484</v>
      </c>
      <c r="AB91" s="383">
        <v>47484</v>
      </c>
      <c r="AC91" s="383">
        <v>47484</v>
      </c>
      <c r="AD91" s="383">
        <v>47484</v>
      </c>
      <c r="AE91" s="383">
        <v>47484</v>
      </c>
      <c r="AF91" s="383">
        <v>47484</v>
      </c>
      <c r="AG91" s="383">
        <v>47484</v>
      </c>
      <c r="AH91" s="383"/>
    </row>
    <row r="92" spans="2:34" ht="17" thickBot="1" x14ac:dyDescent="0.25">
      <c r="B92" s="18" t="s">
        <v>35</v>
      </c>
      <c r="C92" s="568">
        <f>IF(C90=C91,C90,CONCATENATE(C90,"-",C91))</f>
        <v>2021</v>
      </c>
      <c r="D92" s="569"/>
      <c r="G92" s="147"/>
      <c r="I92" s="209">
        <v>41544</v>
      </c>
      <c r="J92" s="418" t="str">
        <f>IF(Introduction!$E$7=1,"🌗",IF(Introduction!$E$7=2,"D","☾"))</f>
        <v>🌗</v>
      </c>
      <c r="L92" s="502">
        <f t="shared" si="11"/>
        <v>89</v>
      </c>
      <c r="M92" s="210">
        <v>29</v>
      </c>
      <c r="N92" s="210">
        <v>3</v>
      </c>
      <c r="O92" s="210" t="s">
        <v>143</v>
      </c>
      <c r="P92" s="210" t="str">
        <f>IF(Introduction!$E$7=1,CONCATENATE("🍻 ",O92),IF(Introduction!$E$7=2,CONCATENATE("Fêtons ",O92),CONCATENATE("✓ ",O92)))</f>
        <v>🍻 Gladys</v>
      </c>
      <c r="R92" s="381">
        <f t="shared" si="12"/>
        <v>47484</v>
      </c>
      <c r="S92" s="381">
        <f t="shared" si="12"/>
        <v>47484</v>
      </c>
      <c r="T92" s="381">
        <f t="shared" si="12"/>
        <v>47484</v>
      </c>
      <c r="U92" s="385">
        <v>47848</v>
      </c>
      <c r="V92" s="383">
        <v>47484</v>
      </c>
      <c r="W92" s="383">
        <v>47484</v>
      </c>
      <c r="X92" s="383">
        <v>47484</v>
      </c>
      <c r="Y92" s="383">
        <v>47484</v>
      </c>
      <c r="Z92" s="383">
        <v>47484</v>
      </c>
      <c r="AA92" s="383">
        <v>47484</v>
      </c>
      <c r="AB92" s="383">
        <v>47484</v>
      </c>
      <c r="AC92" s="383">
        <v>47484</v>
      </c>
      <c r="AD92" s="383">
        <v>47484</v>
      </c>
      <c r="AE92" s="383">
        <v>47484</v>
      </c>
      <c r="AF92" s="383">
        <v>47484</v>
      </c>
      <c r="AG92" s="383">
        <v>47484</v>
      </c>
      <c r="AH92" s="383">
        <v>47848</v>
      </c>
    </row>
    <row r="93" spans="2:34" x14ac:dyDescent="0.2">
      <c r="I93" s="209">
        <v>41552</v>
      </c>
      <c r="J93" s="418" t="str">
        <f>IF(Introduction!$E$7=1,"🌑",IF(Introduction!$E$7=2,"N","⚉"))</f>
        <v>🌑</v>
      </c>
      <c r="L93" s="502">
        <f t="shared" si="11"/>
        <v>90</v>
      </c>
      <c r="M93" s="210">
        <v>30</v>
      </c>
      <c r="N93" s="210">
        <v>3</v>
      </c>
      <c r="O93" s="210" t="s">
        <v>144</v>
      </c>
      <c r="P93" s="210" t="str">
        <f>IF(Introduction!$E$7=1,CONCATENATE("🍻 ",O93),IF(Introduction!$E$7=2,CONCATENATE("Fêtons ",O93),CONCATENATE("✓ ",O93)))</f>
        <v>🍻 Amédée</v>
      </c>
      <c r="R93" s="381">
        <f t="shared" si="12"/>
        <v>47484</v>
      </c>
      <c r="S93" s="381">
        <f t="shared" si="12"/>
        <v>47484</v>
      </c>
      <c r="T93" s="381">
        <f t="shared" si="12"/>
        <v>47484</v>
      </c>
      <c r="U93" s="385">
        <v>47848</v>
      </c>
      <c r="V93" s="383">
        <v>47484</v>
      </c>
      <c r="W93" s="383">
        <v>47484</v>
      </c>
      <c r="X93" s="383">
        <v>47484</v>
      </c>
      <c r="Y93" s="383">
        <v>47484</v>
      </c>
      <c r="Z93" s="383">
        <v>47484</v>
      </c>
      <c r="AA93" s="383">
        <v>47484</v>
      </c>
      <c r="AB93" s="383">
        <v>47484</v>
      </c>
      <c r="AC93" s="383">
        <v>47484</v>
      </c>
      <c r="AD93" s="383">
        <v>47484</v>
      </c>
      <c r="AE93" s="383">
        <v>47484</v>
      </c>
      <c r="AF93" s="383">
        <v>47484</v>
      </c>
      <c r="AG93" s="383">
        <v>47484</v>
      </c>
      <c r="AH93" s="383">
        <v>47848</v>
      </c>
    </row>
    <row r="94" spans="2:34" x14ac:dyDescent="0.2">
      <c r="I94" s="209">
        <v>41558</v>
      </c>
      <c r="J94" s="418" t="str">
        <f>IF(Introduction!$E$7=1,"🌓",IF(Introduction!$E$7=2,"P","☽"))</f>
        <v>🌓</v>
      </c>
      <c r="L94" s="502">
        <f t="shared" si="11"/>
        <v>91</v>
      </c>
      <c r="M94" s="210">
        <v>31</v>
      </c>
      <c r="N94" s="210">
        <v>3</v>
      </c>
      <c r="O94" s="210" t="s">
        <v>145</v>
      </c>
      <c r="P94" s="210" t="str">
        <f>IF(Introduction!$E$7=1,CONCATENATE("🍻 ",O94),IF(Introduction!$E$7=2,CONCATENATE("Fêtons ",O94),CONCATENATE("✓ ",O94)))</f>
        <v>🍻 Benjamin</v>
      </c>
    </row>
    <row r="95" spans="2:34" x14ac:dyDescent="0.2">
      <c r="I95" s="209">
        <v>41565</v>
      </c>
      <c r="J95" s="418" t="str">
        <f>IF(Introduction!$E$7=1,"🌕",IF(Introduction!$E$7=2,"O","⚇"))</f>
        <v>🌕</v>
      </c>
      <c r="L95" s="502">
        <f t="shared" si="11"/>
        <v>92</v>
      </c>
      <c r="M95" s="210">
        <v>1</v>
      </c>
      <c r="N95" s="210">
        <v>4</v>
      </c>
      <c r="O95" s="210" t="s">
        <v>146</v>
      </c>
      <c r="P95" s="210" t="str">
        <f>IF(Introduction!$E$7=1,CONCATENATE("🍻 ",O95),IF(Introduction!$E$7=2,CONCATENATE("Fêtons ",O95),CONCATENATE("✓ ",O95)))</f>
        <v>🍻 Hugues, Valéry</v>
      </c>
      <c r="R95" s="5" t="s">
        <v>517</v>
      </c>
      <c r="S95" s="343" t="str">
        <f>IF(Semestriel!C6&lt;42186,"Académies de Caen, Clermont-Ferrand, Grenoble, Lyon, Montpellier, Nancy-Metz, Nantes, Rennes, Toulouse","Académies de Besançon, Bordeaux, Clermont-Ferrand, Dijon, Grenoble, Limoges, Lyon, Poitiers")</f>
        <v>Académies de Besançon, Bordeaux, Clermont-Ferrand, Dijon, Grenoble, Limoges, Lyon, Poitiers</v>
      </c>
    </row>
    <row r="96" spans="2:34" x14ac:dyDescent="0.2">
      <c r="I96" s="209">
        <v>41573</v>
      </c>
      <c r="J96" s="418" t="str">
        <f>IF(Introduction!$E$7=1,"🌗",IF(Introduction!$E$7=2,"D","☾"))</f>
        <v>🌗</v>
      </c>
      <c r="L96" s="502">
        <f t="shared" si="11"/>
        <v>93</v>
      </c>
      <c r="M96" s="210">
        <v>2</v>
      </c>
      <c r="N96" s="210">
        <v>4</v>
      </c>
      <c r="O96" s="210" t="s">
        <v>147</v>
      </c>
      <c r="P96" s="210" t="str">
        <f>IF(Introduction!$E$7=1,CONCATENATE("🍻 ",O96),IF(Introduction!$E$7=2,CONCATENATE("Fêtons ",O96),CONCATENATE("✓ ",O96)))</f>
        <v>🍻 Sandrine</v>
      </c>
      <c r="R96" s="5" t="s">
        <v>518</v>
      </c>
      <c r="S96" s="343" t="str">
        <f>IF(Semestriel!C6&lt;42186,"Académies de Aix-Marseille, Amiens, Besançon, Dijon, Lille, Limoges, Nice, Orléans-Tours, Poitiers, Reims, Rouen, Strasbourg","Académies de Aix-Marseille, Amiens, Caen, Lille, Nancy-Metz, Nantes, Nice, Orléans-Tours, Reims, Rennes, Rouen, Strasbourg")</f>
        <v>Académies de Aix-Marseille, Amiens, Caen, Lille, Nancy-Metz, Nantes, Nice, Orléans-Tours, Reims, Rennes, Rouen, Strasbourg</v>
      </c>
    </row>
    <row r="97" spans="9:19" x14ac:dyDescent="0.2">
      <c r="I97" s="209">
        <v>41581</v>
      </c>
      <c r="J97" s="418" t="str">
        <f>IF(Introduction!$E$7=1,"🌑",IF(Introduction!$E$7=2,"N","⚉"))</f>
        <v>🌑</v>
      </c>
      <c r="L97" s="502">
        <f t="shared" si="11"/>
        <v>94</v>
      </c>
      <c r="M97" s="210">
        <v>3</v>
      </c>
      <c r="N97" s="210">
        <v>4</v>
      </c>
      <c r="O97" s="210" t="s">
        <v>148</v>
      </c>
      <c r="P97" s="210" t="str">
        <f>IF(Introduction!$E$7=1,CONCATENATE("🍻 ",O97),IF(Introduction!$E$7=2,CONCATENATE("Fêtons ",O97),CONCATENATE("✓ ",O97)))</f>
        <v>🍻 Richard</v>
      </c>
      <c r="R97" s="5" t="s">
        <v>519</v>
      </c>
      <c r="S97" s="343" t="str">
        <f>IF(Semestriel!C6&lt;42186,"Académies de Bordeaux, Créteil, Paris, Versailles","Académies de Créteil, Montpellier, Paris, Toulouse, Versailles")</f>
        <v>Académies de Créteil, Montpellier, Paris, Toulouse, Versailles</v>
      </c>
    </row>
    <row r="98" spans="9:19" x14ac:dyDescent="0.2">
      <c r="I98" s="209">
        <v>41588</v>
      </c>
      <c r="J98" s="418" t="str">
        <f>IF(Introduction!$E$7=1,"🌓",IF(Introduction!$E$7=2,"P","☽"))</f>
        <v>🌓</v>
      </c>
      <c r="L98" s="502">
        <f t="shared" si="11"/>
        <v>95</v>
      </c>
      <c r="M98" s="210">
        <v>4</v>
      </c>
      <c r="N98" s="210">
        <v>4</v>
      </c>
      <c r="O98" s="210" t="s">
        <v>149</v>
      </c>
      <c r="P98" s="210" t="str">
        <f>IF(Introduction!$E$7=1,CONCATENATE("🍻 ",O98),IF(Introduction!$E$7=2,CONCATENATE("Fêtons ",O98),CONCATENATE("✓ ",O98)))</f>
        <v>🍻 Isidore</v>
      </c>
    </row>
    <row r="99" spans="9:19" x14ac:dyDescent="0.2">
      <c r="I99" s="209">
        <v>41595</v>
      </c>
      <c r="J99" s="418" t="str">
        <f>IF(Introduction!$E$7=1,"🌕",IF(Introduction!$E$7=2,"O","⚇"))</f>
        <v>🌕</v>
      </c>
      <c r="L99" s="502">
        <f t="shared" si="11"/>
        <v>96</v>
      </c>
      <c r="M99" s="210">
        <v>5</v>
      </c>
      <c r="N99" s="210">
        <v>4</v>
      </c>
      <c r="O99" s="210" t="s">
        <v>150</v>
      </c>
      <c r="P99" s="210" t="str">
        <f>IF(Introduction!$E$7=1,CONCATENATE("🍻 ",O99),IF(Introduction!$E$7=2,CONCATENATE("Fêtons ",O99),CONCATENATE("✓ ",O99)))</f>
        <v>🍻 Irène</v>
      </c>
    </row>
    <row r="100" spans="9:19" x14ac:dyDescent="0.2">
      <c r="I100" s="209">
        <v>41603</v>
      </c>
      <c r="J100" s="418" t="str">
        <f>IF(Introduction!$E$7=1,"🌗",IF(Introduction!$E$7=2,"D","☾"))</f>
        <v>🌗</v>
      </c>
      <c r="L100" s="502">
        <f t="shared" si="11"/>
        <v>97</v>
      </c>
      <c r="M100" s="210">
        <v>6</v>
      </c>
      <c r="N100" s="210">
        <v>4</v>
      </c>
      <c r="O100" s="210" t="s">
        <v>151</v>
      </c>
      <c r="P100" s="210" t="str">
        <f>IF(Introduction!$E$7=1,CONCATENATE("🍻 ",O100),IF(Introduction!$E$7=2,CONCATENATE("Fêtons ",O100),CONCATENATE("✓ ",O100)))</f>
        <v>🍻 Marcellin, Prudence</v>
      </c>
    </row>
    <row r="101" spans="9:19" x14ac:dyDescent="0.2">
      <c r="I101" s="209">
        <v>41611</v>
      </c>
      <c r="J101" s="418" t="str">
        <f>IF(Introduction!$E$7=1,"🌑",IF(Introduction!$E$7=2,"N","⚉"))</f>
        <v>🌑</v>
      </c>
      <c r="L101" s="502">
        <f t="shared" si="11"/>
        <v>98</v>
      </c>
      <c r="M101" s="210">
        <v>7</v>
      </c>
      <c r="N101" s="210">
        <v>4</v>
      </c>
      <c r="O101" s="210" t="s">
        <v>152</v>
      </c>
      <c r="P101" s="210" t="str">
        <f>IF(Introduction!$E$7=1,CONCATENATE("🍻 ",O101),IF(Introduction!$E$7=2,CONCATENATE("Fêtons ",O101),CONCATENATE("✓ ",O101)))</f>
        <v>🍻 Clotaire, Jean-Baptiste</v>
      </c>
    </row>
    <row r="102" spans="9:19" x14ac:dyDescent="0.2">
      <c r="I102" s="209">
        <v>41617</v>
      </c>
      <c r="J102" s="418" t="str">
        <f>IF(Introduction!$E$7=1,"🌓",IF(Introduction!$E$7=2,"P","☽"))</f>
        <v>🌓</v>
      </c>
      <c r="L102" s="502">
        <f t="shared" si="11"/>
        <v>99</v>
      </c>
      <c r="M102" s="210">
        <v>8</v>
      </c>
      <c r="N102" s="210">
        <v>4</v>
      </c>
      <c r="O102" s="210" t="s">
        <v>153</v>
      </c>
      <c r="P102" s="210" t="str">
        <f>IF(Introduction!$E$7=1,CONCATENATE("🍻 ",O102),IF(Introduction!$E$7=2,CONCATENATE("Fêtons ",O102),CONCATENATE("✓ ",O102)))</f>
        <v>🍻 Julie</v>
      </c>
    </row>
    <row r="103" spans="9:19" x14ac:dyDescent="0.2">
      <c r="I103" s="209">
        <v>41625</v>
      </c>
      <c r="J103" s="418" t="str">
        <f>IF(Introduction!$E$7=1,"🌕",IF(Introduction!$E$7=2,"O","⚇"))</f>
        <v>🌕</v>
      </c>
      <c r="L103" s="502">
        <f t="shared" si="11"/>
        <v>100</v>
      </c>
      <c r="M103" s="210">
        <v>9</v>
      </c>
      <c r="N103" s="210">
        <v>4</v>
      </c>
      <c r="O103" s="210" t="s">
        <v>154</v>
      </c>
      <c r="P103" s="210" t="str">
        <f>IF(Introduction!$E$7=1,CONCATENATE("🍻 ",O103),IF(Introduction!$E$7=2,CONCATENATE("Fêtons ",O103),CONCATENATE("✓ ",O103)))</f>
        <v>🍻 Gautier</v>
      </c>
    </row>
    <row r="104" spans="9:19" x14ac:dyDescent="0.2">
      <c r="I104" s="209">
        <v>41633</v>
      </c>
      <c r="J104" s="418" t="str">
        <f>IF(Introduction!$E$7=1,"🌗",IF(Introduction!$E$7=2,"D","☾"))</f>
        <v>🌗</v>
      </c>
      <c r="L104" s="502">
        <f t="shared" si="11"/>
        <v>101</v>
      </c>
      <c r="M104" s="210">
        <v>10</v>
      </c>
      <c r="N104" s="210">
        <v>4</v>
      </c>
      <c r="O104" s="210" t="s">
        <v>155</v>
      </c>
      <c r="P104" s="210" t="str">
        <f>IF(Introduction!$E$7=1,CONCATENATE("🍻 ",O104),IF(Introduction!$E$7=2,CONCATENATE("Fêtons ",O104),CONCATENATE("✓ ",O104)))</f>
        <v>🍻 Fulbert</v>
      </c>
    </row>
    <row r="105" spans="9:19" x14ac:dyDescent="0.2">
      <c r="I105" s="209">
        <v>41640</v>
      </c>
      <c r="J105" s="418" t="str">
        <f>IF(Introduction!$E$7=1,"🌑",IF(Introduction!$E$7=2,"N","⚉"))</f>
        <v>🌑</v>
      </c>
      <c r="L105" s="502">
        <f t="shared" si="11"/>
        <v>102</v>
      </c>
      <c r="M105" s="210">
        <v>11</v>
      </c>
      <c r="N105" s="210">
        <v>4</v>
      </c>
      <c r="O105" s="210" t="s">
        <v>156</v>
      </c>
      <c r="P105" s="210" t="str">
        <f>IF(Introduction!$E$7=1,CONCATENATE("🍻 ",O105),IF(Introduction!$E$7=2,CONCATENATE("Fêtons ",O105),CONCATENATE("✓ ",O105)))</f>
        <v>🍻 Stanislas</v>
      </c>
    </row>
    <row r="106" spans="9:19" x14ac:dyDescent="0.2">
      <c r="I106" s="209">
        <v>41647</v>
      </c>
      <c r="J106" s="418" t="str">
        <f>IF(Introduction!$E$7=1,"🌓",IF(Introduction!$E$7=2,"P","☽"))</f>
        <v>🌓</v>
      </c>
      <c r="L106" s="502">
        <f t="shared" si="11"/>
        <v>103</v>
      </c>
      <c r="M106" s="210">
        <v>12</v>
      </c>
      <c r="N106" s="210">
        <v>4</v>
      </c>
      <c r="O106" s="210" t="s">
        <v>157</v>
      </c>
      <c r="P106" s="210" t="str">
        <f>IF(Introduction!$E$7=1,CONCATENATE("🍻 ",O106),IF(Introduction!$E$7=2,CONCATENATE("Fêtons ",O106),CONCATENATE("✓ ",O106)))</f>
        <v>🍻 Jules</v>
      </c>
    </row>
    <row r="107" spans="9:19" x14ac:dyDescent="0.2">
      <c r="I107" s="209">
        <v>41655</v>
      </c>
      <c r="J107" s="418" t="str">
        <f>IF(Introduction!$E$7=1,"🌕",IF(Introduction!$E$7=2,"O","⚇"))</f>
        <v>🌕</v>
      </c>
      <c r="L107" s="502">
        <f t="shared" si="11"/>
        <v>104</v>
      </c>
      <c r="M107" s="210">
        <v>13</v>
      </c>
      <c r="N107" s="210">
        <v>4</v>
      </c>
      <c r="O107" s="210" t="s">
        <v>158</v>
      </c>
      <c r="P107" s="210" t="str">
        <f>IF(Introduction!$E$7=1,CONCATENATE("🍻 ",O107),IF(Introduction!$E$7=2,CONCATENATE("Fêtons ",O107),CONCATENATE("✓ ",O107)))</f>
        <v>🍻 Ida</v>
      </c>
    </row>
    <row r="108" spans="9:19" x14ac:dyDescent="0.2">
      <c r="I108" s="209">
        <v>41663</v>
      </c>
      <c r="J108" s="418" t="str">
        <f>IF(Introduction!$E$7=1,"🌗",IF(Introduction!$E$7=2,"D","☾"))</f>
        <v>🌗</v>
      </c>
      <c r="L108" s="502">
        <f t="shared" si="11"/>
        <v>105</v>
      </c>
      <c r="M108" s="210">
        <v>14</v>
      </c>
      <c r="N108" s="210">
        <v>4</v>
      </c>
      <c r="O108" s="210" t="s">
        <v>159</v>
      </c>
      <c r="P108" s="210" t="str">
        <f>IF(Introduction!$E$7=1,CONCATENATE("🍻 ",O108),IF(Introduction!$E$7=2,CONCATENATE("Fêtons ",O108),CONCATENATE("✓ ",O108)))</f>
        <v>🍻 Ludivine, Maxime, Valérien</v>
      </c>
    </row>
    <row r="109" spans="9:19" x14ac:dyDescent="0.2">
      <c r="I109" s="209">
        <v>41669</v>
      </c>
      <c r="J109" s="418" t="str">
        <f>IF(Introduction!$E$7=1,"🌑",IF(Introduction!$E$7=2,"N","⚉"))</f>
        <v>🌑</v>
      </c>
      <c r="L109" s="502">
        <f t="shared" si="11"/>
        <v>106</v>
      </c>
      <c r="M109" s="210">
        <v>15</v>
      </c>
      <c r="N109" s="210">
        <v>4</v>
      </c>
      <c r="O109" s="210" t="s">
        <v>160</v>
      </c>
      <c r="P109" s="210" t="str">
        <f>IF(Introduction!$E$7=1,CONCATENATE("🍻 ",O109),IF(Introduction!$E$7=2,CONCATENATE("Fêtons ",O109),CONCATENATE("✓ ",O109)))</f>
        <v>🍻 César, Paterne</v>
      </c>
    </row>
    <row r="110" spans="9:19" x14ac:dyDescent="0.2">
      <c r="I110" s="209">
        <v>41676</v>
      </c>
      <c r="J110" s="418" t="str">
        <f>IF(Introduction!$E$7=1,"🌓",IF(Introduction!$E$7=2,"P","☽"))</f>
        <v>🌓</v>
      </c>
      <c r="L110" s="502">
        <f t="shared" si="11"/>
        <v>107</v>
      </c>
      <c r="M110" s="210">
        <v>16</v>
      </c>
      <c r="N110" s="210">
        <v>4</v>
      </c>
      <c r="O110" s="210" t="s">
        <v>161</v>
      </c>
      <c r="P110" s="210" t="str">
        <f>IF(Introduction!$E$7=1,CONCATENATE("🍻 ",O110),IF(Introduction!$E$7=2,CONCATENATE("Fêtons ",O110),CONCATENATE("✓ ",O110)))</f>
        <v>🍻 Benoît, Joseph</v>
      </c>
    </row>
    <row r="111" spans="9:19" x14ac:dyDescent="0.2">
      <c r="I111" s="209">
        <v>41684</v>
      </c>
      <c r="J111" s="418" t="str">
        <f>IF(Introduction!$E$7=1,"🌕",IF(Introduction!$E$7=2,"O","⚇"))</f>
        <v>🌕</v>
      </c>
      <c r="L111" s="502">
        <f t="shared" si="11"/>
        <v>108</v>
      </c>
      <c r="M111" s="210">
        <v>17</v>
      </c>
      <c r="N111" s="210">
        <v>4</v>
      </c>
      <c r="O111" s="210" t="s">
        <v>162</v>
      </c>
      <c r="P111" s="210" t="str">
        <f>IF(Introduction!$E$7=1,CONCATENATE("🍻 ",O111),IF(Introduction!$E$7=2,CONCATENATE("Fêtons ",O111),CONCATENATE("✓ ",O111)))</f>
        <v>🍻 Anicet</v>
      </c>
    </row>
    <row r="112" spans="9:19" x14ac:dyDescent="0.2">
      <c r="I112" s="209">
        <v>41692</v>
      </c>
      <c r="J112" s="418" t="str">
        <f>IF(Introduction!$E$7=1,"🌗",IF(Introduction!$E$7=2,"D","☾"))</f>
        <v>🌗</v>
      </c>
      <c r="L112" s="502">
        <f t="shared" si="11"/>
        <v>109</v>
      </c>
      <c r="M112" s="210">
        <v>18</v>
      </c>
      <c r="N112" s="210">
        <v>4</v>
      </c>
      <c r="O112" s="210" t="s">
        <v>163</v>
      </c>
      <c r="P112" s="210" t="str">
        <f>IF(Introduction!$E$7=1,CONCATENATE("🍻 ",O112),IF(Introduction!$E$7=2,CONCATENATE("Fêtons ",O112),CONCATENATE("✓ ",O112)))</f>
        <v>🍻 Parfait</v>
      </c>
    </row>
    <row r="113" spans="9:16" x14ac:dyDescent="0.2">
      <c r="I113" s="209">
        <v>41699</v>
      </c>
      <c r="J113" s="418" t="str">
        <f>IF(Introduction!$E$7=1,"🌑",IF(Introduction!$E$7=2,"N","⚉"))</f>
        <v>🌑</v>
      </c>
      <c r="L113" s="502">
        <f t="shared" si="11"/>
        <v>110</v>
      </c>
      <c r="M113" s="210">
        <v>19</v>
      </c>
      <c r="N113" s="210">
        <v>4</v>
      </c>
      <c r="O113" s="210" t="s">
        <v>164</v>
      </c>
      <c r="P113" s="210" t="str">
        <f>IF(Introduction!$E$7=1,CONCATENATE("🍻 ",O113),IF(Introduction!$E$7=2,CONCATENATE("Fêtons ",O113),CONCATENATE("✓ ",O113)))</f>
        <v>🍻 Emma, Léonide</v>
      </c>
    </row>
    <row r="114" spans="9:16" x14ac:dyDescent="0.2">
      <c r="I114" s="209">
        <v>41706</v>
      </c>
      <c r="J114" s="418" t="str">
        <f>IF(Introduction!$E$7=1,"🌓",IF(Introduction!$E$7=2,"P","☽"))</f>
        <v>🌓</v>
      </c>
      <c r="L114" s="502">
        <f t="shared" si="11"/>
        <v>111</v>
      </c>
      <c r="M114" s="210">
        <v>20</v>
      </c>
      <c r="N114" s="210">
        <v>4</v>
      </c>
      <c r="O114" s="210" t="s">
        <v>165</v>
      </c>
      <c r="P114" s="210" t="str">
        <f>IF(Introduction!$E$7=1,CONCATENATE("🍻 ",O114),IF(Introduction!$E$7=2,CONCATENATE("Fêtons ",O114),CONCATENATE("✓ ",O114)))</f>
        <v>🍻 Odette, Théodore</v>
      </c>
    </row>
    <row r="115" spans="9:16" x14ac:dyDescent="0.2">
      <c r="I115" s="209">
        <v>41714</v>
      </c>
      <c r="J115" s="418" t="str">
        <f>IF(Introduction!$E$7=1,"🌕",IF(Introduction!$E$7=2,"O","⚇"))</f>
        <v>🌕</v>
      </c>
      <c r="L115" s="502">
        <f t="shared" si="11"/>
        <v>112</v>
      </c>
      <c r="M115" s="210">
        <v>21</v>
      </c>
      <c r="N115" s="210">
        <v>4</v>
      </c>
      <c r="O115" s="210" t="s">
        <v>166</v>
      </c>
      <c r="P115" s="210" t="str">
        <f>IF(Introduction!$E$7=1,CONCATENATE("🍻 ",O115),IF(Introduction!$E$7=2,CONCATENATE("Fêtons ",O115),CONCATENATE("✓ ",O115)))</f>
        <v>🍻 Anselme</v>
      </c>
    </row>
    <row r="116" spans="9:16" x14ac:dyDescent="0.2">
      <c r="I116" s="209">
        <v>41722</v>
      </c>
      <c r="J116" s="418" t="str">
        <f>IF(Introduction!$E$7=1,"🌗",IF(Introduction!$E$7=2,"D","☾"))</f>
        <v>🌗</v>
      </c>
      <c r="L116" s="502">
        <f t="shared" si="11"/>
        <v>113</v>
      </c>
      <c r="M116" s="210">
        <v>22</v>
      </c>
      <c r="N116" s="210">
        <v>4</v>
      </c>
      <c r="O116" s="210" t="s">
        <v>167</v>
      </c>
      <c r="P116" s="210" t="str">
        <f>IF(Introduction!$E$7=1,CONCATENATE("🍻 ",O116),IF(Introduction!$E$7=2,CONCATENATE("Fêtons ",O116),CONCATENATE("✓ ",O116)))</f>
        <v>🍻 Alexandre, Opportune</v>
      </c>
    </row>
    <row r="117" spans="9:16" x14ac:dyDescent="0.2">
      <c r="I117" s="209">
        <v>41728</v>
      </c>
      <c r="J117" s="418" t="str">
        <f>IF(Introduction!$E$7=1,"🌑",IF(Introduction!$E$7=2,"N","⚉"))</f>
        <v>🌑</v>
      </c>
      <c r="L117" s="502">
        <f t="shared" si="11"/>
        <v>114</v>
      </c>
      <c r="M117" s="210">
        <v>23</v>
      </c>
      <c r="N117" s="210">
        <v>4</v>
      </c>
      <c r="O117" s="210" t="s">
        <v>168</v>
      </c>
      <c r="P117" s="210" t="str">
        <f>IF(Introduction!$E$7=1,CONCATENATE("🍻 ",O117),IF(Introduction!$E$7=2,CONCATENATE("Fêtons ",O117),CONCATENATE("✓ ",O117)))</f>
        <v>🍻 Georges</v>
      </c>
    </row>
    <row r="118" spans="9:16" x14ac:dyDescent="0.2">
      <c r="I118" s="209">
        <v>41736</v>
      </c>
      <c r="J118" s="418" t="str">
        <f>IF(Introduction!$E$7=1,"🌓",IF(Introduction!$E$7=2,"P","☽"))</f>
        <v>🌓</v>
      </c>
      <c r="L118" s="502">
        <f t="shared" si="11"/>
        <v>115</v>
      </c>
      <c r="M118" s="210">
        <v>24</v>
      </c>
      <c r="N118" s="210">
        <v>4</v>
      </c>
      <c r="O118" s="210" t="s">
        <v>169</v>
      </c>
      <c r="P118" s="210" t="str">
        <f>IF(Introduction!$E$7=1,CONCATENATE("🍻 ",O118),IF(Introduction!$E$7=2,CONCATENATE("Fêtons ",O118),CONCATENATE("✓ ",O118)))</f>
        <v>🍻 Fidèle</v>
      </c>
    </row>
    <row r="119" spans="9:16" x14ac:dyDescent="0.2">
      <c r="I119" s="209">
        <v>41744</v>
      </c>
      <c r="J119" s="418" t="str">
        <f>IF(Introduction!$E$7=1,"🌕",IF(Introduction!$E$7=2,"O","⚇"))</f>
        <v>🌕</v>
      </c>
      <c r="L119" s="502">
        <f t="shared" si="11"/>
        <v>116</v>
      </c>
      <c r="M119" s="210">
        <v>25</v>
      </c>
      <c r="N119" s="210">
        <v>4</v>
      </c>
      <c r="O119" s="210" t="s">
        <v>170</v>
      </c>
      <c r="P119" s="210" t="str">
        <f>IF(Introduction!$E$7=1,CONCATENATE("🍻 ",O119),IF(Introduction!$E$7=2,CONCATENATE("Fêtons ",O119),CONCATENATE("✓ ",O119)))</f>
        <v>🍻 Marc</v>
      </c>
    </row>
    <row r="120" spans="9:16" x14ac:dyDescent="0.2">
      <c r="I120" s="209">
        <v>41751</v>
      </c>
      <c r="J120" s="418" t="str">
        <f>IF(Introduction!$E$7=1,"🌗",IF(Introduction!$E$7=2,"D","☾"))</f>
        <v>🌗</v>
      </c>
      <c r="L120" s="502">
        <f t="shared" si="11"/>
        <v>117</v>
      </c>
      <c r="M120" s="210">
        <v>26</v>
      </c>
      <c r="N120" s="210">
        <v>4</v>
      </c>
      <c r="O120" s="210" t="s">
        <v>171</v>
      </c>
      <c r="P120" s="210" t="str">
        <f>IF(Introduction!$E$7=1,CONCATENATE("🍻 ",O120),IF(Introduction!$E$7=2,CONCATENATE("Fêtons ",O120),CONCATENATE("✓ ",O120)))</f>
        <v>🍻 Alida</v>
      </c>
    </row>
    <row r="121" spans="9:16" x14ac:dyDescent="0.2">
      <c r="I121" s="209">
        <v>41758</v>
      </c>
      <c r="J121" s="418" t="str">
        <f>IF(Introduction!$E$7=1,"🌑",IF(Introduction!$E$7=2,"N","⚉"))</f>
        <v>🌑</v>
      </c>
      <c r="L121" s="502">
        <f t="shared" si="11"/>
        <v>118</v>
      </c>
      <c r="M121" s="210">
        <v>27</v>
      </c>
      <c r="N121" s="210">
        <v>4</v>
      </c>
      <c r="O121" s="210" t="s">
        <v>172</v>
      </c>
      <c r="P121" s="210" t="str">
        <f>IF(Introduction!$E$7=1,CONCATENATE("🍻 ",O121),IF(Introduction!$E$7=2,CONCATENATE("Fêtons ",O121),CONCATENATE("✓ ",O121)))</f>
        <v>🍻 Zita</v>
      </c>
    </row>
    <row r="122" spans="9:16" x14ac:dyDescent="0.2">
      <c r="I122" s="209">
        <v>41766</v>
      </c>
      <c r="J122" s="418" t="str">
        <f>IF(Introduction!$E$7=1,"🌓",IF(Introduction!$E$7=2,"P","☽"))</f>
        <v>🌓</v>
      </c>
      <c r="L122" s="502">
        <f t="shared" si="11"/>
        <v>119</v>
      </c>
      <c r="M122" s="210">
        <v>28</v>
      </c>
      <c r="N122" s="210">
        <v>4</v>
      </c>
      <c r="O122" s="210" t="s">
        <v>173</v>
      </c>
      <c r="P122" s="210" t="str">
        <f>IF(Introduction!$E$7=1,CONCATENATE("🍻 ",O122),IF(Introduction!$E$7=2,CONCATENATE("Fêtons ",O122),CONCATENATE("✓ ",O122)))</f>
        <v>🍻 Valérie</v>
      </c>
    </row>
    <row r="123" spans="9:16" x14ac:dyDescent="0.2">
      <c r="I123" s="209">
        <v>41773</v>
      </c>
      <c r="J123" s="418" t="str">
        <f>IF(Introduction!$E$7=1,"🌕",IF(Introduction!$E$7=2,"O","⚇"))</f>
        <v>🌕</v>
      </c>
      <c r="L123" s="502">
        <f t="shared" si="11"/>
        <v>120</v>
      </c>
      <c r="M123" s="210">
        <v>29</v>
      </c>
      <c r="N123" s="210">
        <v>4</v>
      </c>
      <c r="O123" s="210" t="s">
        <v>174</v>
      </c>
      <c r="P123" s="210" t="str">
        <f>IF(Introduction!$E$7=1,CONCATENATE("🍻 ",O123),IF(Introduction!$E$7=2,CONCATENATE("Fêtons ",O123),CONCATENATE("✓ ",O123)))</f>
        <v>🍻 Catherine</v>
      </c>
    </row>
    <row r="124" spans="9:16" x14ac:dyDescent="0.2">
      <c r="I124" s="209">
        <v>41780</v>
      </c>
      <c r="J124" s="418" t="str">
        <f>IF(Introduction!$E$7=1,"🌗",IF(Introduction!$E$7=2,"D","☾"))</f>
        <v>🌗</v>
      </c>
      <c r="L124" s="502">
        <f t="shared" si="11"/>
        <v>121</v>
      </c>
      <c r="M124" s="210">
        <v>30</v>
      </c>
      <c r="N124" s="210">
        <v>4</v>
      </c>
      <c r="O124" s="210" t="s">
        <v>175</v>
      </c>
      <c r="P124" s="210" t="str">
        <f>IF(Introduction!$E$7=1,CONCATENATE("🍻 ",O124),IF(Introduction!$E$7=2,CONCATENATE("Fêtons ",O124),CONCATENATE("✓ ",O124)))</f>
        <v>🍻 Robert</v>
      </c>
    </row>
    <row r="125" spans="9:16" x14ac:dyDescent="0.2">
      <c r="I125" s="209">
        <v>41787</v>
      </c>
      <c r="J125" s="418" t="str">
        <f>IF(Introduction!$E$7=1,"🌑",IF(Introduction!$E$7=2,"N","⚉"))</f>
        <v>🌑</v>
      </c>
      <c r="L125" s="502">
        <f t="shared" si="11"/>
        <v>122</v>
      </c>
      <c r="M125" s="210">
        <v>1</v>
      </c>
      <c r="N125" s="210">
        <v>5</v>
      </c>
      <c r="O125" s="210" t="s">
        <v>176</v>
      </c>
      <c r="P125" s="210" t="str">
        <f>IF(Introduction!$E$7=1,CONCATENATE("🍻 ",O125),IF(Introduction!$E$7=2,CONCATENATE("Fêtons ",O125),CONCATENATE("✓ ",O125)))</f>
        <v>🍻 Brieuc, Florine, Jérémy</v>
      </c>
    </row>
    <row r="126" spans="9:16" x14ac:dyDescent="0.2">
      <c r="I126" s="209">
        <v>41795</v>
      </c>
      <c r="J126" s="418" t="str">
        <f>IF(Introduction!$E$7=1,"🌓",IF(Introduction!$E$7=2,"P","☽"))</f>
        <v>🌓</v>
      </c>
      <c r="L126" s="502">
        <f t="shared" si="11"/>
        <v>123</v>
      </c>
      <c r="M126" s="210">
        <v>2</v>
      </c>
      <c r="N126" s="210">
        <v>5</v>
      </c>
      <c r="O126" s="210" t="s">
        <v>177</v>
      </c>
      <c r="P126" s="210" t="str">
        <f>IF(Introduction!$E$7=1,CONCATENATE("🍻 ",O126),IF(Introduction!$E$7=2,CONCATENATE("Fêtons ",O126),CONCATENATE("✓ ",O126)))</f>
        <v>🍻 Boris, Zoé</v>
      </c>
    </row>
    <row r="127" spans="9:16" x14ac:dyDescent="0.2">
      <c r="I127" s="209">
        <v>41803</v>
      </c>
      <c r="J127" s="418" t="str">
        <f>IF(Introduction!$E$7=1,"🌕",IF(Introduction!$E$7=2,"O","⚇"))</f>
        <v>🌕</v>
      </c>
      <c r="L127" s="502">
        <f t="shared" si="11"/>
        <v>124</v>
      </c>
      <c r="M127" s="210">
        <v>3</v>
      </c>
      <c r="N127" s="210">
        <v>5</v>
      </c>
      <c r="O127" s="210" t="s">
        <v>178</v>
      </c>
      <c r="P127" s="210" t="str">
        <f>IF(Introduction!$E$7=1,CONCATENATE("🍻 ",O127),IF(Introduction!$E$7=2,CONCATENATE("Fêtons ",O127),CONCATENATE("✓ ",O127)))</f>
        <v>🍻 Philippe, Jacques, Ewen</v>
      </c>
    </row>
    <row r="128" spans="9:16" x14ac:dyDescent="0.2">
      <c r="I128" s="209">
        <v>41809</v>
      </c>
      <c r="J128" s="418" t="str">
        <f>IF(Introduction!$E$7=1,"🌗",IF(Introduction!$E$7=2,"D","☾"))</f>
        <v>🌗</v>
      </c>
      <c r="L128" s="502">
        <f t="shared" si="11"/>
        <v>125</v>
      </c>
      <c r="M128" s="210">
        <v>4</v>
      </c>
      <c r="N128" s="210">
        <v>5</v>
      </c>
      <c r="O128" s="210" t="s">
        <v>179</v>
      </c>
      <c r="P128" s="210" t="str">
        <f>IF(Introduction!$E$7=1,CONCATENATE("🍻 ",O128),IF(Introduction!$E$7=2,CONCATENATE("Fêtons ",O128),CONCATENATE("✓ ",O128)))</f>
        <v>🍻 Florian, Sylvain</v>
      </c>
    </row>
    <row r="129" spans="9:16" x14ac:dyDescent="0.2">
      <c r="I129" s="209">
        <v>41817</v>
      </c>
      <c r="J129" s="418" t="str">
        <f>IF(Introduction!$E$7=1,"🌑",IF(Introduction!$E$7=2,"N","⚉"))</f>
        <v>🌑</v>
      </c>
      <c r="L129" s="502">
        <f t="shared" si="11"/>
        <v>126</v>
      </c>
      <c r="M129" s="210">
        <v>5</v>
      </c>
      <c r="N129" s="210">
        <v>5</v>
      </c>
      <c r="O129" s="210" t="s">
        <v>180</v>
      </c>
      <c r="P129" s="210" t="str">
        <f>IF(Introduction!$E$7=1,CONCATENATE("🍻 ",O129),IF(Introduction!$E$7=2,CONCATENATE("Fêtons ",O129),CONCATENATE("✓ ",O129)))</f>
        <v>🍻 Judith</v>
      </c>
    </row>
    <row r="130" spans="9:16" x14ac:dyDescent="0.2">
      <c r="I130" s="209">
        <v>41825</v>
      </c>
      <c r="J130" s="418" t="str">
        <f>IF(Introduction!$E$7=1,"🌓",IF(Introduction!$E$7=2,"P","☽"))</f>
        <v>🌓</v>
      </c>
      <c r="L130" s="502">
        <f t="shared" si="11"/>
        <v>127</v>
      </c>
      <c r="M130" s="210">
        <v>6</v>
      </c>
      <c r="N130" s="210">
        <v>5</v>
      </c>
      <c r="O130" s="210" t="s">
        <v>181</v>
      </c>
      <c r="P130" s="210" t="str">
        <f>IF(Introduction!$E$7=1,CONCATENATE("🍻 ",O130),IF(Introduction!$E$7=2,CONCATENATE("Fêtons ",O130),CONCATENATE("✓ ",O130)))</f>
        <v>🍻 Marien, Prudence</v>
      </c>
    </row>
    <row r="131" spans="9:16" x14ac:dyDescent="0.2">
      <c r="I131" s="209">
        <v>41832</v>
      </c>
      <c r="J131" s="418" t="str">
        <f>IF(Introduction!$E$7=1,"🌕",IF(Introduction!$E$7=2,"O","⚇"))</f>
        <v>🌕</v>
      </c>
      <c r="L131" s="502">
        <f t="shared" si="11"/>
        <v>128</v>
      </c>
      <c r="M131" s="210">
        <v>7</v>
      </c>
      <c r="N131" s="210">
        <v>5</v>
      </c>
      <c r="O131" s="210" t="s">
        <v>182</v>
      </c>
      <c r="P131" s="210" t="str">
        <f>IF(Introduction!$E$7=1,CONCATENATE("🍻 ",O131),IF(Introduction!$E$7=2,CONCATENATE("Fêtons ",O131),CONCATENATE("✓ ",O131)))</f>
        <v>🍻 Domitille, Gisèle</v>
      </c>
    </row>
    <row r="132" spans="9:16" x14ac:dyDescent="0.2">
      <c r="I132" s="209">
        <v>41839</v>
      </c>
      <c r="J132" s="418" t="str">
        <f>IF(Introduction!$E$7=1,"🌗",IF(Introduction!$E$7=2,"D","☾"))</f>
        <v>🌗</v>
      </c>
      <c r="L132" s="502">
        <f t="shared" si="11"/>
        <v>129</v>
      </c>
      <c r="M132" s="210">
        <v>8</v>
      </c>
      <c r="N132" s="210">
        <v>5</v>
      </c>
      <c r="O132" s="210" t="s">
        <v>183</v>
      </c>
      <c r="P132" s="210" t="str">
        <f>IF(Introduction!$E$7=1,CONCATENATE("🍻 ",O132),IF(Introduction!$E$7=2,CONCATENATE("Fêtons ",O132),CONCATENATE("✓ ",O132)))</f>
        <v>🍻 Désiré,Félicité, Félicie</v>
      </c>
    </row>
    <row r="133" spans="9:16" x14ac:dyDescent="0.2">
      <c r="I133" s="209">
        <v>41846</v>
      </c>
      <c r="J133" s="418" t="str">
        <f>IF(Introduction!$E$7=1,"🌑",IF(Introduction!$E$7=2,"N","⚉"))</f>
        <v>🌑</v>
      </c>
      <c r="L133" s="502">
        <f t="shared" ref="L133:L196" si="13">DATE(,N133,M133)</f>
        <v>130</v>
      </c>
      <c r="M133" s="210">
        <v>9</v>
      </c>
      <c r="N133" s="210">
        <v>5</v>
      </c>
      <c r="O133" s="210" t="s">
        <v>184</v>
      </c>
      <c r="P133" s="210" t="str">
        <f>IF(Introduction!$E$7=1,CONCATENATE("🍻 ",O133),IF(Introduction!$E$7=2,CONCATENATE("Fêtons ",O133),CONCATENATE("✓ ",O133)))</f>
        <v>🍻 Pacôme</v>
      </c>
    </row>
    <row r="134" spans="9:16" x14ac:dyDescent="0.2">
      <c r="I134" s="209">
        <v>41855</v>
      </c>
      <c r="J134" s="418" t="str">
        <f>IF(Introduction!$E$7=1,"🌓",IF(Introduction!$E$7=2,"P","☽"))</f>
        <v>🌓</v>
      </c>
      <c r="L134" s="502">
        <f t="shared" si="13"/>
        <v>131</v>
      </c>
      <c r="M134" s="210">
        <v>10</v>
      </c>
      <c r="N134" s="210">
        <v>5</v>
      </c>
      <c r="O134" s="210" t="s">
        <v>185</v>
      </c>
      <c r="P134" s="210" t="str">
        <f>IF(Introduction!$E$7=1,CONCATENATE("🍻 ",O134),IF(Introduction!$E$7=2,CONCATENATE("Fêtons ",O134),CONCATENATE("✓ ",O134)))</f>
        <v>🍻 Solange</v>
      </c>
    </row>
    <row r="135" spans="9:16" x14ac:dyDescent="0.2">
      <c r="I135" s="209">
        <v>41861</v>
      </c>
      <c r="J135" s="418" t="str">
        <f>IF(Introduction!$E$7=1,"🌕",IF(Introduction!$E$7=2,"O","⚇"))</f>
        <v>🌕</v>
      </c>
      <c r="L135" s="502">
        <f t="shared" si="13"/>
        <v>132</v>
      </c>
      <c r="M135" s="210">
        <v>11</v>
      </c>
      <c r="N135" s="210">
        <v>5</v>
      </c>
      <c r="O135" s="210" t="s">
        <v>186</v>
      </c>
      <c r="P135" s="210" t="str">
        <f>IF(Introduction!$E$7=1,CONCATENATE("🍻 ",O135),IF(Introduction!$E$7=2,CONCATENATE("Fêtons ",O135),CONCATENATE("✓ ",O135)))</f>
        <v>🍻 Estelle, Mayeul</v>
      </c>
    </row>
    <row r="136" spans="9:16" x14ac:dyDescent="0.2">
      <c r="I136" s="209">
        <v>41868</v>
      </c>
      <c r="J136" s="418" t="str">
        <f>IF(Introduction!$E$7=1,"🌗",IF(Introduction!$E$7=2,"D","☾"))</f>
        <v>🌗</v>
      </c>
      <c r="L136" s="502">
        <f t="shared" si="13"/>
        <v>133</v>
      </c>
      <c r="M136" s="210">
        <v>12</v>
      </c>
      <c r="N136" s="210">
        <v>5</v>
      </c>
      <c r="O136" s="210" t="s">
        <v>187</v>
      </c>
      <c r="P136" s="210" t="str">
        <f>IF(Introduction!$E$7=1,CONCATENATE("🍻 ",O136),IF(Introduction!$E$7=2,CONCATENATE("Fêtons ",O136),CONCATENATE("✓ ",O136)))</f>
        <v>🍻 Achille</v>
      </c>
    </row>
    <row r="137" spans="9:16" x14ac:dyDescent="0.2">
      <c r="I137" s="209">
        <v>41876</v>
      </c>
      <c r="J137" s="418" t="str">
        <f>IF(Introduction!$E$7=1,"🌑",IF(Introduction!$E$7=2,"N","⚉"))</f>
        <v>🌑</v>
      </c>
      <c r="L137" s="502">
        <f t="shared" si="13"/>
        <v>134</v>
      </c>
      <c r="M137" s="210">
        <v>13</v>
      </c>
      <c r="N137" s="210">
        <v>5</v>
      </c>
      <c r="O137" s="210" t="s">
        <v>188</v>
      </c>
      <c r="P137" s="210" t="str">
        <f>IF(Introduction!$E$7=1,CONCATENATE("🍻 ",O137),IF(Introduction!$E$7=2,CONCATENATE("Fêtons ",O137),CONCATENATE("✓ ",O137)))</f>
        <v>🍻 Maël, Oriane, Rolande</v>
      </c>
    </row>
    <row r="138" spans="9:16" x14ac:dyDescent="0.2">
      <c r="I138" s="209">
        <v>41884</v>
      </c>
      <c r="J138" s="418" t="str">
        <f>IF(Introduction!$E$7=1,"🌓",IF(Introduction!$E$7=2,"P","☽"))</f>
        <v>🌓</v>
      </c>
      <c r="L138" s="502">
        <f t="shared" si="13"/>
        <v>135</v>
      </c>
      <c r="M138" s="210">
        <v>14</v>
      </c>
      <c r="N138" s="210">
        <v>5</v>
      </c>
      <c r="O138" s="210" t="s">
        <v>189</v>
      </c>
      <c r="P138" s="210" t="str">
        <f>IF(Introduction!$E$7=1,CONCATENATE("🍻 ",O138),IF(Introduction!$E$7=2,CONCATENATE("Fêtons ",O138),CONCATENATE("✓ ",O138)))</f>
        <v>🍻 Aglaé, Matthias</v>
      </c>
    </row>
    <row r="139" spans="9:16" x14ac:dyDescent="0.2">
      <c r="I139" s="209">
        <v>41891</v>
      </c>
      <c r="J139" s="418" t="str">
        <f>IF(Introduction!$E$7=1,"🌕",IF(Introduction!$E$7=2,"O","⚇"))</f>
        <v>🌕</v>
      </c>
      <c r="L139" s="502">
        <f t="shared" si="13"/>
        <v>136</v>
      </c>
      <c r="M139" s="210">
        <v>15</v>
      </c>
      <c r="N139" s="210">
        <v>5</v>
      </c>
      <c r="O139" s="210" t="s">
        <v>190</v>
      </c>
      <c r="P139" s="210" t="str">
        <f>IF(Introduction!$E$7=1,CONCATENATE("🍻 ",O139),IF(Introduction!$E$7=2,CONCATENATE("Fêtons ",O139),CONCATENATE("✓ ",O139)))</f>
        <v>🍻 Denise</v>
      </c>
    </row>
    <row r="140" spans="9:16" x14ac:dyDescent="0.2">
      <c r="I140" s="209">
        <v>41898</v>
      </c>
      <c r="J140" s="418" t="str">
        <f>IF(Introduction!$E$7=1,"🌗",IF(Introduction!$E$7=2,"D","☾"))</f>
        <v>🌗</v>
      </c>
      <c r="L140" s="502">
        <f t="shared" si="13"/>
        <v>137</v>
      </c>
      <c r="M140" s="210">
        <v>16</v>
      </c>
      <c r="N140" s="210">
        <v>5</v>
      </c>
      <c r="O140" s="210" t="s">
        <v>191</v>
      </c>
      <c r="P140" s="210" t="str">
        <f>IF(Introduction!$E$7=1,CONCATENATE("🍻 ",O140),IF(Introduction!$E$7=2,CONCATENATE("Fêtons ",O140),CONCATENATE("✓ ",O140)))</f>
        <v>🍻 Brendan, Honoré</v>
      </c>
    </row>
    <row r="141" spans="9:16" x14ac:dyDescent="0.2">
      <c r="I141" s="209">
        <v>41906</v>
      </c>
      <c r="J141" s="418" t="str">
        <f>IF(Introduction!$E$7=1,"🌑",IF(Introduction!$E$7=2,"N","⚉"))</f>
        <v>🌑</v>
      </c>
      <c r="L141" s="502">
        <f t="shared" si="13"/>
        <v>138</v>
      </c>
      <c r="M141" s="210">
        <v>17</v>
      </c>
      <c r="N141" s="210">
        <v>5</v>
      </c>
      <c r="O141" s="210" t="s">
        <v>192</v>
      </c>
      <c r="P141" s="210" t="str">
        <f>IF(Introduction!$E$7=1,CONCATENATE("🍻 ",O141),IF(Introduction!$E$7=2,CONCATENATE("Fêtons ",O141),CONCATENATE("✓ ",O141)))</f>
        <v>🍻 Pascal</v>
      </c>
    </row>
    <row r="142" spans="9:16" x14ac:dyDescent="0.2">
      <c r="I142" s="209">
        <v>41913</v>
      </c>
      <c r="J142" s="418" t="str">
        <f>IF(Introduction!$E$7=1,"🌓",IF(Introduction!$E$7=2,"P","☽"))</f>
        <v>🌓</v>
      </c>
      <c r="L142" s="502">
        <f t="shared" si="13"/>
        <v>139</v>
      </c>
      <c r="M142" s="210">
        <v>18</v>
      </c>
      <c r="N142" s="210">
        <v>5</v>
      </c>
      <c r="O142" s="210" t="s">
        <v>193</v>
      </c>
      <c r="P142" s="210" t="str">
        <f>IF(Introduction!$E$7=1,CONCATENATE("🍻 ",O142),IF(Introduction!$E$7=2,CONCATENATE("Fêtons ",O142),CONCATENATE("✓ ",O142)))</f>
        <v>🍻 Corinne, Éric</v>
      </c>
    </row>
    <row r="143" spans="9:16" x14ac:dyDescent="0.2">
      <c r="I143" s="209">
        <v>41920</v>
      </c>
      <c r="J143" s="418" t="str">
        <f>IF(Introduction!$E$7=1,"🌕",IF(Introduction!$E$7=2,"O","⚇"))</f>
        <v>🌕</v>
      </c>
      <c r="L143" s="502">
        <f t="shared" si="13"/>
        <v>140</v>
      </c>
      <c r="M143" s="210">
        <v>19</v>
      </c>
      <c r="N143" s="210">
        <v>5</v>
      </c>
      <c r="O143" s="210" t="s">
        <v>194</v>
      </c>
      <c r="P143" s="210" t="str">
        <f>IF(Introduction!$E$7=1,CONCATENATE("🍻 ",O143),IF(Introduction!$E$7=2,CONCATENATE("Fêtons ",O143),CONCATENATE("✓ ",O143)))</f>
        <v>🍻 Célestin, Erwan, Yves</v>
      </c>
    </row>
    <row r="144" spans="9:16" x14ac:dyDescent="0.2">
      <c r="I144" s="209">
        <v>41927</v>
      </c>
      <c r="J144" s="418" t="str">
        <f>IF(Introduction!$E$7=1,"🌗",IF(Introduction!$E$7=2,"D","☾"))</f>
        <v>🌗</v>
      </c>
      <c r="L144" s="502">
        <f t="shared" si="13"/>
        <v>141</v>
      </c>
      <c r="M144" s="210">
        <v>20</v>
      </c>
      <c r="N144" s="210">
        <v>5</v>
      </c>
      <c r="O144" s="210" t="s">
        <v>195</v>
      </c>
      <c r="P144" s="210" t="str">
        <f>IF(Introduction!$E$7=1,CONCATENATE("🍻 ",O144),IF(Introduction!$E$7=2,CONCATENATE("Fêtons ",O144),CONCATENATE("✓ ",O144)))</f>
        <v>🍻 Bernardin</v>
      </c>
    </row>
    <row r="145" spans="9:16" x14ac:dyDescent="0.2">
      <c r="I145" s="209">
        <v>41935</v>
      </c>
      <c r="J145" s="418" t="str">
        <f>IF(Introduction!$E$7=1,"🌑",IF(Introduction!$E$7=2,"N","⚉"))</f>
        <v>🌑</v>
      </c>
      <c r="L145" s="502">
        <f t="shared" si="13"/>
        <v>142</v>
      </c>
      <c r="M145" s="210">
        <v>21</v>
      </c>
      <c r="N145" s="210">
        <v>5</v>
      </c>
      <c r="O145" s="210" t="s">
        <v>196</v>
      </c>
      <c r="P145" s="210" t="str">
        <f>IF(Introduction!$E$7=1,CONCATENATE("🍻 ",O145),IF(Introduction!$E$7=2,CONCATENATE("Fêtons ",O145),CONCATENATE("✓ ",O145)))</f>
        <v>🍻 Constantin</v>
      </c>
    </row>
    <row r="146" spans="9:16" x14ac:dyDescent="0.2">
      <c r="I146" s="209">
        <v>41943</v>
      </c>
      <c r="J146" s="418" t="str">
        <f>IF(Introduction!$E$7=1,"🌓",IF(Introduction!$E$7=2,"P","☽"))</f>
        <v>🌓</v>
      </c>
      <c r="L146" s="502">
        <f t="shared" si="13"/>
        <v>143</v>
      </c>
      <c r="M146" s="210">
        <v>22</v>
      </c>
      <c r="N146" s="210">
        <v>5</v>
      </c>
      <c r="O146" s="210" t="s">
        <v>197</v>
      </c>
      <c r="P146" s="210" t="str">
        <f>IF(Introduction!$E$7=1,CONCATENATE("🍻 ",O146),IF(Introduction!$E$7=2,CONCATENATE("Fêtons ",O146),CONCATENATE("✓ ",O146)))</f>
        <v>🍻 Émile, Émilie, Rita</v>
      </c>
    </row>
    <row r="147" spans="9:16" x14ac:dyDescent="0.2">
      <c r="I147" s="209">
        <v>41949</v>
      </c>
      <c r="J147" s="418" t="str">
        <f>IF(Introduction!$E$7=1,"🌕",IF(Introduction!$E$7=2,"O","⚇"))</f>
        <v>🌕</v>
      </c>
      <c r="L147" s="502">
        <f t="shared" si="13"/>
        <v>144</v>
      </c>
      <c r="M147" s="210">
        <v>23</v>
      </c>
      <c r="N147" s="210">
        <v>5</v>
      </c>
      <c r="O147" s="210" t="s">
        <v>198</v>
      </c>
      <c r="P147" s="210" t="str">
        <f>IF(Introduction!$E$7=1,CONCATENATE("🍻 ",O147),IF(Introduction!$E$7=2,CONCATENATE("Fêtons ",O147),CONCATENATE("✓ ",O147)))</f>
        <v>🍻 Didier</v>
      </c>
    </row>
    <row r="148" spans="9:16" x14ac:dyDescent="0.2">
      <c r="I148" s="209">
        <v>41957</v>
      </c>
      <c r="J148" s="418" t="str">
        <f>IF(Introduction!$E$7=1,"🌗",IF(Introduction!$E$7=2,"D","☾"))</f>
        <v>🌗</v>
      </c>
      <c r="L148" s="502">
        <f t="shared" si="13"/>
        <v>145</v>
      </c>
      <c r="M148" s="210">
        <v>24</v>
      </c>
      <c r="N148" s="210">
        <v>5</v>
      </c>
      <c r="O148" s="210" t="s">
        <v>199</v>
      </c>
      <c r="P148" s="210" t="str">
        <f>IF(Introduction!$E$7=1,CONCATENATE("🍻 ",O148),IF(Introduction!$E$7=2,CONCATENATE("Fêtons ",O148),CONCATENATE("✓ ",O148)))</f>
        <v>🍻 Donatien</v>
      </c>
    </row>
    <row r="149" spans="9:16" x14ac:dyDescent="0.2">
      <c r="I149" s="209">
        <v>41965</v>
      </c>
      <c r="J149" s="418" t="str">
        <f>IF(Introduction!$E$7=1,"🌑",IF(Introduction!$E$7=2,"N","⚉"))</f>
        <v>🌑</v>
      </c>
      <c r="L149" s="502">
        <f t="shared" si="13"/>
        <v>146</v>
      </c>
      <c r="M149" s="210">
        <v>25</v>
      </c>
      <c r="N149" s="210">
        <v>5</v>
      </c>
      <c r="O149" s="210" t="s">
        <v>200</v>
      </c>
      <c r="P149" s="210" t="str">
        <f>IF(Introduction!$E$7=1,CONCATENATE("🍻 ",O149),IF(Introduction!$E$7=2,CONCATENATE("Fêtons ",O149),CONCATENATE("✓ ",O149)))</f>
        <v>🍻 Sophie, Urbain</v>
      </c>
    </row>
    <row r="150" spans="9:16" x14ac:dyDescent="0.2">
      <c r="I150" s="209">
        <v>41972</v>
      </c>
      <c r="J150" s="418" t="str">
        <f>IF(Introduction!$E$7=1,"🌓",IF(Introduction!$E$7=2,"P","☽"))</f>
        <v>🌓</v>
      </c>
      <c r="L150" s="502">
        <f t="shared" si="13"/>
        <v>147</v>
      </c>
      <c r="M150" s="210">
        <v>26</v>
      </c>
      <c r="N150" s="210">
        <v>5</v>
      </c>
      <c r="O150" s="210" t="s">
        <v>201</v>
      </c>
      <c r="P150" s="210" t="str">
        <f>IF(Introduction!$E$7=1,CONCATENATE("🍻 ",O150),IF(Introduction!$E$7=2,CONCATENATE("Fêtons ",O150),CONCATENATE("✓ ",O150)))</f>
        <v>🍻 Bérenger</v>
      </c>
    </row>
    <row r="151" spans="9:16" x14ac:dyDescent="0.2">
      <c r="I151" s="209">
        <v>41979</v>
      </c>
      <c r="J151" s="418" t="str">
        <f>IF(Introduction!$E$7=1,"🌕",IF(Introduction!$E$7=2,"O","⚇"))</f>
        <v>🌕</v>
      </c>
      <c r="L151" s="502">
        <f t="shared" si="13"/>
        <v>148</v>
      </c>
      <c r="M151" s="210">
        <v>27</v>
      </c>
      <c r="N151" s="210">
        <v>5</v>
      </c>
      <c r="O151" s="210" t="s">
        <v>202</v>
      </c>
      <c r="P151" s="210" t="str">
        <f>IF(Introduction!$E$7=1,CONCATENATE("🍻 ",O151),IF(Introduction!$E$7=2,CONCATENATE("Fêtons ",O151),CONCATENATE("✓ ",O151)))</f>
        <v>🍻 Augustin</v>
      </c>
    </row>
    <row r="152" spans="9:16" x14ac:dyDescent="0.2">
      <c r="I152" s="209">
        <v>41987</v>
      </c>
      <c r="J152" s="418" t="str">
        <f>IF(Introduction!$E$7=1,"🌗",IF(Introduction!$E$7=2,"D","☾"))</f>
        <v>🌗</v>
      </c>
      <c r="L152" s="502">
        <f t="shared" si="13"/>
        <v>149</v>
      </c>
      <c r="M152" s="210">
        <v>28</v>
      </c>
      <c r="N152" s="210">
        <v>5</v>
      </c>
      <c r="O152" s="210" t="s">
        <v>203</v>
      </c>
      <c r="P152" s="210" t="str">
        <f>IF(Introduction!$E$7=1,CONCATENATE("🍻 ",O152),IF(Introduction!$E$7=2,CONCATENATE("Fêtons ",O152),CONCATENATE("✓ ",O152)))</f>
        <v>🍻 Germain</v>
      </c>
    </row>
    <row r="153" spans="9:16" x14ac:dyDescent="0.2">
      <c r="I153" s="209">
        <v>41995</v>
      </c>
      <c r="J153" s="418" t="str">
        <f>IF(Introduction!$E$7=1,"🌑",IF(Introduction!$E$7=2,"N","⚉"))</f>
        <v>🌑</v>
      </c>
      <c r="L153" s="502">
        <f t="shared" si="13"/>
        <v>150</v>
      </c>
      <c r="M153" s="210">
        <v>29</v>
      </c>
      <c r="N153" s="210">
        <v>5</v>
      </c>
      <c r="O153" s="210" t="s">
        <v>204</v>
      </c>
      <c r="P153" s="210" t="str">
        <f>IF(Introduction!$E$7=1,CONCATENATE("🍻 ",O153),IF(Introduction!$E$7=2,CONCATENATE("Fêtons ",O153),CONCATENATE("✓ ",O153)))</f>
        <v>🍻 Aymar,Géraldine, Maximin</v>
      </c>
    </row>
    <row r="154" spans="9:16" x14ac:dyDescent="0.2">
      <c r="I154" s="209">
        <v>42001</v>
      </c>
      <c r="J154" s="418" t="str">
        <f>IF(Introduction!$E$7=1,"🌓",IF(Introduction!$E$7=2,"P","☽"))</f>
        <v>🌓</v>
      </c>
      <c r="L154" s="502">
        <f t="shared" si="13"/>
        <v>151</v>
      </c>
      <c r="M154" s="210">
        <v>30</v>
      </c>
      <c r="N154" s="210">
        <v>5</v>
      </c>
      <c r="O154" s="210" t="s">
        <v>205</v>
      </c>
      <c r="P154" s="210" t="str">
        <f>IF(Introduction!$E$7=1,CONCATENATE("🍻 ",O154),IF(Introduction!$E$7=2,CONCATENATE("Fêtons ",O154),CONCATENATE("✓ ",O154)))</f>
        <v>🍻 Ferdinand, Jeanne, Lorraine</v>
      </c>
    </row>
    <row r="155" spans="9:16" x14ac:dyDescent="0.2">
      <c r="I155" s="209">
        <v>42009</v>
      </c>
      <c r="J155" s="418" t="str">
        <f>IF(Introduction!$E$7=1,"🌕",IF(Introduction!$E$7=2,"O","⚇"))</f>
        <v>🌕</v>
      </c>
      <c r="L155" s="502">
        <f t="shared" si="13"/>
        <v>152</v>
      </c>
      <c r="M155" s="210">
        <v>31</v>
      </c>
      <c r="N155" s="210">
        <v>5</v>
      </c>
      <c r="O155" s="210" t="s">
        <v>206</v>
      </c>
      <c r="P155" s="210" t="str">
        <f>IF(Introduction!$E$7=1,CONCATENATE("🍻 ",O155),IF(Introduction!$E$7=2,CONCATENATE("Fêtons ",O155),CONCATENATE("✓ ",O155)))</f>
        <v>🍻 Pétronille, Pierrette</v>
      </c>
    </row>
    <row r="156" spans="9:16" x14ac:dyDescent="0.2">
      <c r="I156" s="209">
        <v>42017</v>
      </c>
      <c r="J156" s="418" t="str">
        <f>IF(Introduction!$E$7=1,"🌗",IF(Introduction!$E$7=2,"D","☾"))</f>
        <v>🌗</v>
      </c>
      <c r="L156" s="502">
        <f t="shared" si="13"/>
        <v>153</v>
      </c>
      <c r="M156" s="210">
        <v>1</v>
      </c>
      <c r="N156" s="210">
        <v>6</v>
      </c>
      <c r="O156" s="210" t="s">
        <v>207</v>
      </c>
      <c r="P156" s="210" t="str">
        <f>IF(Introduction!$E$7=1,CONCATENATE("🍻 ",O156),IF(Introduction!$E$7=2,CONCATENATE("Fêtons ",O156),CONCATENATE("✓ ",O156)))</f>
        <v>🍻 Justin, Révérien, Romain</v>
      </c>
    </row>
    <row r="157" spans="9:16" x14ac:dyDescent="0.2">
      <c r="I157" s="209">
        <v>42024</v>
      </c>
      <c r="J157" s="418" t="str">
        <f>IF(Introduction!$E$7=1,"🌑",IF(Introduction!$E$7=2,"N","⚉"))</f>
        <v>🌑</v>
      </c>
      <c r="L157" s="502">
        <f t="shared" si="13"/>
        <v>154</v>
      </c>
      <c r="M157" s="210">
        <v>2</v>
      </c>
      <c r="N157" s="210">
        <v>6</v>
      </c>
      <c r="O157" s="210" t="s">
        <v>208</v>
      </c>
      <c r="P157" s="210" t="str">
        <f>IF(Introduction!$E$7=1,CONCATENATE("🍻 ",O157),IF(Introduction!$E$7=2,CONCATENATE("Fêtons ",O157),CONCATENATE("✓ ",O157)))</f>
        <v>🍻 Blandine, Marcellin</v>
      </c>
    </row>
    <row r="158" spans="9:16" x14ac:dyDescent="0.2">
      <c r="I158" s="209">
        <v>42031</v>
      </c>
      <c r="J158" s="418" t="str">
        <f>IF(Introduction!$E$7=1,"🌓",IF(Introduction!$E$7=2,"P","☽"))</f>
        <v>🌓</v>
      </c>
      <c r="L158" s="502">
        <f t="shared" si="13"/>
        <v>155</v>
      </c>
      <c r="M158" s="210">
        <v>3</v>
      </c>
      <c r="N158" s="210">
        <v>6</v>
      </c>
      <c r="O158" s="210" t="s">
        <v>209</v>
      </c>
      <c r="P158" s="210" t="str">
        <f>IF(Introduction!$E$7=1,CONCATENATE("🍻 ",O158),IF(Introduction!$E$7=2,CONCATENATE("Fêtons ",O158),CONCATENATE("✓ ",O158)))</f>
        <v>🍻 Kévin</v>
      </c>
    </row>
    <row r="159" spans="9:16" x14ac:dyDescent="0.2">
      <c r="I159" s="209">
        <v>42038</v>
      </c>
      <c r="J159" s="418" t="str">
        <f>IF(Introduction!$E$7=1,"🌕",IF(Introduction!$E$7=2,"O","⚇"))</f>
        <v>🌕</v>
      </c>
      <c r="L159" s="502">
        <f t="shared" si="13"/>
        <v>156</v>
      </c>
      <c r="M159" s="210">
        <v>4</v>
      </c>
      <c r="N159" s="210">
        <v>6</v>
      </c>
      <c r="O159" s="210" t="s">
        <v>210</v>
      </c>
      <c r="P159" s="210" t="str">
        <f>IF(Introduction!$E$7=1,CONCATENATE("🍻 ",O159),IF(Introduction!$E$7=2,CONCATENATE("Fêtons ",O159),CONCATENATE("✓ ",O159)))</f>
        <v>🍻 Clotilde</v>
      </c>
    </row>
    <row r="160" spans="9:16" x14ac:dyDescent="0.2">
      <c r="I160" s="209">
        <v>42047</v>
      </c>
      <c r="J160" s="418" t="str">
        <f>IF(Introduction!$E$7=1,"🌗",IF(Introduction!$E$7=2,"D","☾"))</f>
        <v>🌗</v>
      </c>
      <c r="L160" s="502">
        <f t="shared" si="13"/>
        <v>157</v>
      </c>
      <c r="M160" s="210">
        <v>5</v>
      </c>
      <c r="N160" s="210">
        <v>6</v>
      </c>
      <c r="O160" s="210" t="s">
        <v>211</v>
      </c>
      <c r="P160" s="210" t="str">
        <f>IF(Introduction!$E$7=1,CONCATENATE("🍻 ",O160),IF(Introduction!$E$7=2,CONCATENATE("Fêtons ",O160),CONCATENATE("✓ ",O160)))</f>
        <v>🍻 Igor</v>
      </c>
    </row>
    <row r="161" spans="9:16" x14ac:dyDescent="0.2">
      <c r="I161" s="209">
        <v>42053</v>
      </c>
      <c r="J161" s="418" t="str">
        <f>IF(Introduction!$E$7=1,"🌑",IF(Introduction!$E$7=2,"N","⚉"))</f>
        <v>🌑</v>
      </c>
      <c r="L161" s="502">
        <f t="shared" si="13"/>
        <v>158</v>
      </c>
      <c r="M161" s="210">
        <v>6</v>
      </c>
      <c r="N161" s="210">
        <v>6</v>
      </c>
      <c r="O161" s="210" t="s">
        <v>212</v>
      </c>
      <c r="P161" s="210" t="str">
        <f>IF(Introduction!$E$7=1,CONCATENATE("🍻 ",O161),IF(Introduction!$E$7=2,CONCATENATE("Fêtons ",O161),CONCATENATE("✓ ",O161)))</f>
        <v>🍻 Norbert</v>
      </c>
    </row>
    <row r="162" spans="9:16" x14ac:dyDescent="0.2">
      <c r="I162" s="209">
        <v>42060</v>
      </c>
      <c r="J162" s="418" t="str">
        <f>IF(Introduction!$E$7=1,"🌓",IF(Introduction!$E$7=2,"P","☽"))</f>
        <v>🌓</v>
      </c>
      <c r="L162" s="502">
        <f t="shared" si="13"/>
        <v>159</v>
      </c>
      <c r="M162" s="210">
        <v>7</v>
      </c>
      <c r="N162" s="210">
        <v>6</v>
      </c>
      <c r="O162" s="210" t="s">
        <v>213</v>
      </c>
      <c r="P162" s="210" t="str">
        <f>IF(Introduction!$E$7=1,CONCATENATE("🍻 ",O162),IF(Introduction!$E$7=2,CONCATENATE("Fêtons ",O162),CONCATENATE("✓ ",O162)))</f>
        <v>🍻 Gilbert</v>
      </c>
    </row>
    <row r="163" spans="9:16" x14ac:dyDescent="0.2">
      <c r="I163" s="209">
        <v>42068</v>
      </c>
      <c r="J163" s="418" t="str">
        <f>IF(Introduction!$E$7=1,"🌕",IF(Introduction!$E$7=2,"O","⚇"))</f>
        <v>🌕</v>
      </c>
      <c r="L163" s="502">
        <f t="shared" si="13"/>
        <v>160</v>
      </c>
      <c r="M163" s="210">
        <v>8</v>
      </c>
      <c r="N163" s="210">
        <v>6</v>
      </c>
      <c r="O163" s="210" t="s">
        <v>214</v>
      </c>
      <c r="P163" s="210" t="str">
        <f>IF(Introduction!$E$7=1,CONCATENATE("🍻 ",O163),IF(Introduction!$E$7=2,CONCATENATE("Fêtons ",O163),CONCATENATE("✓ ",O163)))</f>
        <v>🍻 Armand, Médard</v>
      </c>
    </row>
    <row r="164" spans="9:16" x14ac:dyDescent="0.2">
      <c r="I164" s="209">
        <v>42076</v>
      </c>
      <c r="J164" s="418" t="str">
        <f>IF(Introduction!$E$7=1,"🌗",IF(Introduction!$E$7=2,"D","☾"))</f>
        <v>🌗</v>
      </c>
      <c r="L164" s="502">
        <f t="shared" si="13"/>
        <v>161</v>
      </c>
      <c r="M164" s="210">
        <v>9</v>
      </c>
      <c r="N164" s="210">
        <v>6</v>
      </c>
      <c r="O164" s="210" t="s">
        <v>215</v>
      </c>
      <c r="P164" s="210" t="str">
        <f>IF(Introduction!$E$7=1,CONCATENATE("🍻 ",O164),IF(Introduction!$E$7=2,CONCATENATE("Fêtons ",O164),CONCATENATE("✓ ",O164)))</f>
        <v>🍻 Diane, Félicien</v>
      </c>
    </row>
    <row r="165" spans="9:16" x14ac:dyDescent="0.2">
      <c r="I165" s="209">
        <v>42083</v>
      </c>
      <c r="J165" s="418" t="str">
        <f>IF(Introduction!$E$7=1,"🌑",IF(Introduction!$E$7=2,"N","⚉"))</f>
        <v>🌑</v>
      </c>
      <c r="L165" s="502">
        <f t="shared" si="13"/>
        <v>162</v>
      </c>
      <c r="M165" s="210">
        <v>10</v>
      </c>
      <c r="N165" s="210">
        <v>6</v>
      </c>
      <c r="O165" s="210" t="s">
        <v>216</v>
      </c>
      <c r="P165" s="210" t="str">
        <f>IF(Introduction!$E$7=1,CONCATENATE("🍻 ",O165),IF(Introduction!$E$7=2,CONCATENATE("Fêtons ",O165),CONCATENATE("✓ ",O165)))</f>
        <v>🍻 Landry</v>
      </c>
    </row>
    <row r="166" spans="9:16" x14ac:dyDescent="0.2">
      <c r="I166" s="209">
        <v>42090</v>
      </c>
      <c r="J166" s="418" t="str">
        <f>IF(Introduction!$E$7=1,"🌓",IF(Introduction!$E$7=2,"P","☽"))</f>
        <v>🌓</v>
      </c>
      <c r="L166" s="502">
        <f t="shared" si="13"/>
        <v>163</v>
      </c>
      <c r="M166" s="210">
        <v>11</v>
      </c>
      <c r="N166" s="210">
        <v>6</v>
      </c>
      <c r="O166" s="210" t="s">
        <v>217</v>
      </c>
      <c r="P166" s="210" t="str">
        <f>IF(Introduction!$E$7=1,CONCATENATE("🍻 ",O166),IF(Introduction!$E$7=2,CONCATENATE("Fêtons ",O166),CONCATENATE("✓ ",O166)))</f>
        <v>🍻 Barnabé</v>
      </c>
    </row>
    <row r="167" spans="9:16" x14ac:dyDescent="0.2">
      <c r="I167" s="209">
        <v>42098</v>
      </c>
      <c r="J167" s="418" t="str">
        <f>IF(Introduction!$E$7=1,"🌕",IF(Introduction!$E$7=2,"O","⚇"))</f>
        <v>🌕</v>
      </c>
      <c r="L167" s="502">
        <f t="shared" si="13"/>
        <v>164</v>
      </c>
      <c r="M167" s="210">
        <v>12</v>
      </c>
      <c r="N167" s="210">
        <v>6</v>
      </c>
      <c r="O167" s="210" t="s">
        <v>218</v>
      </c>
      <c r="P167" s="210" t="str">
        <f>IF(Introduction!$E$7=1,CONCATENATE("🍻 ",O167),IF(Introduction!$E$7=2,CONCATENATE("Fêtons ",O167),CONCATENATE("✓ ",O167)))</f>
        <v>🍻 Guy</v>
      </c>
    </row>
    <row r="168" spans="9:16" x14ac:dyDescent="0.2">
      <c r="I168" s="209">
        <v>42106</v>
      </c>
      <c r="J168" s="418" t="str">
        <f>IF(Introduction!$E$7=1,"🌗",IF(Introduction!$E$7=2,"D","☾"))</f>
        <v>🌗</v>
      </c>
      <c r="L168" s="502">
        <f t="shared" si="13"/>
        <v>165</v>
      </c>
      <c r="M168" s="210">
        <v>13</v>
      </c>
      <c r="N168" s="210">
        <v>6</v>
      </c>
      <c r="O168" s="210" t="s">
        <v>219</v>
      </c>
      <c r="P168" s="210" t="str">
        <f>IF(Introduction!$E$7=1,CONCATENATE("🍻 ",O168),IF(Introduction!$E$7=2,CONCATENATE("Fêtons ",O168),CONCATENATE("✓ ",O168)))</f>
        <v>🍻 Antoine</v>
      </c>
    </row>
    <row r="169" spans="9:16" x14ac:dyDescent="0.2">
      <c r="I169" s="209">
        <v>42112</v>
      </c>
      <c r="J169" s="418" t="str">
        <f>IF(Introduction!$E$7=1,"🌑",IF(Introduction!$E$7=2,"N","⚉"))</f>
        <v>🌑</v>
      </c>
      <c r="L169" s="502">
        <f t="shared" si="13"/>
        <v>166</v>
      </c>
      <c r="M169" s="210">
        <v>14</v>
      </c>
      <c r="N169" s="210">
        <v>6</v>
      </c>
      <c r="O169" s="210" t="s">
        <v>220</v>
      </c>
      <c r="P169" s="210" t="str">
        <f>IF(Introduction!$E$7=1,CONCATENATE("🍻 ",O169),IF(Introduction!$E$7=2,CONCATENATE("Fêtons ",O169),CONCATENATE("✓ ",O169)))</f>
        <v>🍻 Élisée, Rufin, Valère</v>
      </c>
    </row>
    <row r="170" spans="9:16" x14ac:dyDescent="0.2">
      <c r="I170" s="209">
        <v>42119</v>
      </c>
      <c r="J170" s="418" t="str">
        <f>IF(Introduction!$E$7=1,"🌓",IF(Introduction!$E$7=2,"P","☽"))</f>
        <v>🌓</v>
      </c>
      <c r="L170" s="502">
        <f t="shared" si="13"/>
        <v>167</v>
      </c>
      <c r="M170" s="210">
        <v>15</v>
      </c>
      <c r="N170" s="210">
        <v>6</v>
      </c>
      <c r="O170" s="210" t="s">
        <v>221</v>
      </c>
      <c r="P170" s="210" t="str">
        <f>IF(Introduction!$E$7=1,CONCATENATE("🍻 ",O170),IF(Introduction!$E$7=2,CONCATENATE("Fêtons ",O170),CONCATENATE("✓ ",O170)))</f>
        <v>🍻 Germaine</v>
      </c>
    </row>
    <row r="171" spans="9:16" x14ac:dyDescent="0.2">
      <c r="I171" s="209">
        <v>42128</v>
      </c>
      <c r="J171" s="418" t="str">
        <f>IF(Introduction!$E$7=1,"🌕",IF(Introduction!$E$7=2,"O","⚇"))</f>
        <v>🌕</v>
      </c>
      <c r="L171" s="502">
        <f t="shared" si="13"/>
        <v>168</v>
      </c>
      <c r="M171" s="210">
        <v>16</v>
      </c>
      <c r="N171" s="210">
        <v>6</v>
      </c>
      <c r="O171" s="210" t="s">
        <v>222</v>
      </c>
      <c r="P171" s="210" t="str">
        <f>IF(Introduction!$E$7=1,CONCATENATE("🍻 ",O171),IF(Introduction!$E$7=2,CONCATENATE("Fêtons ",O171),CONCATENATE("✓ ",O171)))</f>
        <v>🍻 Aurélien, Jean-François Régis</v>
      </c>
    </row>
    <row r="172" spans="9:16" x14ac:dyDescent="0.2">
      <c r="I172" s="209">
        <v>42135</v>
      </c>
      <c r="J172" s="418" t="str">
        <f>IF(Introduction!$E$7=1,"🌗",IF(Introduction!$E$7=2,"D","☾"))</f>
        <v>🌗</v>
      </c>
      <c r="L172" s="502">
        <f t="shared" si="13"/>
        <v>169</v>
      </c>
      <c r="M172" s="210">
        <v>17</v>
      </c>
      <c r="N172" s="210">
        <v>6</v>
      </c>
      <c r="O172" s="210" t="s">
        <v>223</v>
      </c>
      <c r="P172" s="210" t="str">
        <f>IF(Introduction!$E$7=1,CONCATENATE("🍻 ",O172),IF(Introduction!$E$7=2,CONCATENATE("Fêtons ",O172),CONCATENATE("✓ ",O172)))</f>
        <v>🍻 Hervé</v>
      </c>
    </row>
    <row r="173" spans="9:16" x14ac:dyDescent="0.2">
      <c r="I173" s="209">
        <v>42142</v>
      </c>
      <c r="J173" s="418" t="str">
        <f>IF(Introduction!$E$7=1,"🌑",IF(Introduction!$E$7=2,"N","⚉"))</f>
        <v>🌑</v>
      </c>
      <c r="L173" s="502">
        <f t="shared" si="13"/>
        <v>170</v>
      </c>
      <c r="M173" s="210">
        <v>18</v>
      </c>
      <c r="N173" s="210">
        <v>6</v>
      </c>
      <c r="O173" s="210" t="s">
        <v>224</v>
      </c>
      <c r="P173" s="210" t="str">
        <f>IF(Introduction!$E$7=1,CONCATENATE("🍻 ",O173),IF(Introduction!$E$7=2,CONCATENATE("Fêtons ",O173),CONCATENATE("✓ ",O173)))</f>
        <v>🍻 Léonce</v>
      </c>
    </row>
    <row r="174" spans="9:16" x14ac:dyDescent="0.2">
      <c r="I174" s="209">
        <v>42149</v>
      </c>
      <c r="J174" s="418" t="str">
        <f>IF(Introduction!$E$7=1,"🌓",IF(Introduction!$E$7=2,"P","☽"))</f>
        <v>🌓</v>
      </c>
      <c r="L174" s="502">
        <f t="shared" si="13"/>
        <v>171</v>
      </c>
      <c r="M174" s="210">
        <v>19</v>
      </c>
      <c r="N174" s="210">
        <v>6</v>
      </c>
      <c r="O174" s="210" t="s">
        <v>225</v>
      </c>
      <c r="P174" s="210" t="str">
        <f>IF(Introduction!$E$7=1,CONCATENATE("🍻 ",O174),IF(Introduction!$E$7=2,CONCATENATE("Fêtons ",O174),CONCATENATE("✓ ",O174)))</f>
        <v>🍻 Gervais, Micheline, Romuald</v>
      </c>
    </row>
    <row r="175" spans="9:16" x14ac:dyDescent="0.2">
      <c r="I175" s="209">
        <v>42157</v>
      </c>
      <c r="J175" s="418" t="str">
        <f>IF(Introduction!$E$7=1,"🌕",IF(Introduction!$E$7=2,"O","⚇"))</f>
        <v>🌕</v>
      </c>
      <c r="L175" s="502">
        <f t="shared" si="13"/>
        <v>172</v>
      </c>
      <c r="M175" s="210">
        <v>20</v>
      </c>
      <c r="N175" s="210">
        <v>6</v>
      </c>
      <c r="O175" s="210" t="s">
        <v>226</v>
      </c>
      <c r="P175" s="210" t="str">
        <f>IF(Introduction!$E$7=1,CONCATENATE("🍻 ",O175),IF(Introduction!$E$7=2,CONCATENATE("Fêtons ",O175),CONCATENATE("✓ ",O175)))</f>
        <v>🍻 Silvère</v>
      </c>
    </row>
    <row r="176" spans="9:16" x14ac:dyDescent="0.2">
      <c r="I176" s="209">
        <v>42164</v>
      </c>
      <c r="J176" s="418" t="str">
        <f>IF(Introduction!$E$7=1,"🌗",IF(Introduction!$E$7=2,"D","☾"))</f>
        <v>🌗</v>
      </c>
      <c r="L176" s="502">
        <f t="shared" si="13"/>
        <v>173</v>
      </c>
      <c r="M176" s="210">
        <v>21</v>
      </c>
      <c r="N176" s="210">
        <v>6</v>
      </c>
      <c r="O176" s="210" t="s">
        <v>227</v>
      </c>
      <c r="P176" s="210" t="str">
        <f>IF(Introduction!$E$7=1,CONCATENATE("🍻 ",O176),IF(Introduction!$E$7=2,CONCATENATE("Fêtons ",O176),CONCATENATE("✓ ",O176)))</f>
        <v>🍻 Rodolphe</v>
      </c>
    </row>
    <row r="177" spans="9:16" x14ac:dyDescent="0.2">
      <c r="I177" s="209">
        <v>42171</v>
      </c>
      <c r="J177" s="418" t="str">
        <f>IF(Introduction!$E$7=1,"🌑",IF(Introduction!$E$7=2,"N","⚉"))</f>
        <v>🌑</v>
      </c>
      <c r="L177" s="502">
        <f t="shared" si="13"/>
        <v>174</v>
      </c>
      <c r="M177" s="210">
        <v>22</v>
      </c>
      <c r="N177" s="210">
        <v>6</v>
      </c>
      <c r="O177" s="210" t="s">
        <v>228</v>
      </c>
      <c r="P177" s="210" t="str">
        <f>IF(Introduction!$E$7=1,CONCATENATE("🍻 ",O177),IF(Introduction!$E$7=2,CONCATENATE("Fêtons ",O177),CONCATENATE("✓ ",O177)))</f>
        <v>🍻 Alban</v>
      </c>
    </row>
    <row r="178" spans="9:16" x14ac:dyDescent="0.2">
      <c r="I178" s="209">
        <v>42179</v>
      </c>
      <c r="J178" s="418" t="str">
        <f>IF(Introduction!$E$7=1,"🌓",IF(Introduction!$E$7=2,"P","☽"))</f>
        <v>🌓</v>
      </c>
      <c r="L178" s="502">
        <f t="shared" si="13"/>
        <v>175</v>
      </c>
      <c r="M178" s="210">
        <v>23</v>
      </c>
      <c r="N178" s="210">
        <v>6</v>
      </c>
      <c r="O178" s="210" t="s">
        <v>229</v>
      </c>
      <c r="P178" s="210" t="str">
        <f>IF(Introduction!$E$7=1,CONCATENATE("🍻 ",O178),IF(Introduction!$E$7=2,CONCATENATE("Fêtons ",O178),CONCATENATE("✓ ",O178)))</f>
        <v>🍻 Audrey</v>
      </c>
    </row>
    <row r="179" spans="9:16" x14ac:dyDescent="0.2">
      <c r="I179" s="209">
        <v>42187</v>
      </c>
      <c r="J179" s="418" t="str">
        <f>IF(Introduction!$E$7=1,"🌕",IF(Introduction!$E$7=2,"O","⚇"))</f>
        <v>🌕</v>
      </c>
      <c r="L179" s="502">
        <f t="shared" si="13"/>
        <v>176</v>
      </c>
      <c r="M179" s="210">
        <v>24</v>
      </c>
      <c r="N179" s="210">
        <v>6</v>
      </c>
      <c r="O179" s="210" t="s">
        <v>230</v>
      </c>
      <c r="P179" s="210" t="str">
        <f>IF(Introduction!$E$7=1,CONCATENATE("🍻 ",O179),IF(Introduction!$E$7=2,CONCATENATE("Fêtons ",O179),CONCATENATE("✓ ",O179)))</f>
        <v>🍻 Baptiste, Jean-Baptiste</v>
      </c>
    </row>
    <row r="180" spans="9:16" x14ac:dyDescent="0.2">
      <c r="I180" s="209">
        <v>42193</v>
      </c>
      <c r="J180" s="418" t="str">
        <f>IF(Introduction!$E$7=1,"🌗",IF(Introduction!$E$7=2,"D","☾"))</f>
        <v>🌗</v>
      </c>
      <c r="L180" s="502">
        <f t="shared" si="13"/>
        <v>177</v>
      </c>
      <c r="M180" s="210">
        <v>25</v>
      </c>
      <c r="N180" s="210">
        <v>6</v>
      </c>
      <c r="O180" s="210" t="s">
        <v>231</v>
      </c>
      <c r="P180" s="210" t="str">
        <f>IF(Introduction!$E$7=1,CONCATENATE("🍻 ",O180),IF(Introduction!$E$7=2,CONCATENATE("Fêtons ",O180),CONCATENATE("✓ ",O180)))</f>
        <v>🍻 Aliénor, Éléonore,  Prosper, Salomon</v>
      </c>
    </row>
    <row r="181" spans="9:16" x14ac:dyDescent="0.2">
      <c r="I181" s="209">
        <v>42201</v>
      </c>
      <c r="J181" s="418" t="str">
        <f>IF(Introduction!$E$7=1,"🌑",IF(Introduction!$E$7=2,"N","⚉"))</f>
        <v>🌑</v>
      </c>
      <c r="L181" s="502">
        <f t="shared" si="13"/>
        <v>178</v>
      </c>
      <c r="M181" s="210">
        <v>26</v>
      </c>
      <c r="N181" s="210">
        <v>6</v>
      </c>
      <c r="O181" s="210" t="s">
        <v>232</v>
      </c>
      <c r="P181" s="210" t="str">
        <f>IF(Introduction!$E$7=1,CONCATENATE("🍻 ",O181),IF(Introduction!$E$7=2,CONCATENATE("Fêtons ",O181),CONCATENATE("✓ ",O181)))</f>
        <v>🍻 Anthelme</v>
      </c>
    </row>
    <row r="182" spans="9:16" x14ac:dyDescent="0.2">
      <c r="I182" s="209">
        <v>42209</v>
      </c>
      <c r="J182" s="418" t="str">
        <f>IF(Introduction!$E$7=1,"🌓",IF(Introduction!$E$7=2,"P","☽"))</f>
        <v>🌓</v>
      </c>
      <c r="L182" s="502">
        <f t="shared" si="13"/>
        <v>179</v>
      </c>
      <c r="M182" s="210">
        <v>27</v>
      </c>
      <c r="N182" s="210">
        <v>6</v>
      </c>
      <c r="O182" s="210" t="s">
        <v>233</v>
      </c>
      <c r="P182" s="210" t="str">
        <f>IF(Introduction!$E$7=1,CONCATENATE("🍻 ",O182),IF(Introduction!$E$7=2,CONCATENATE("Fêtons ",O182),CONCATENATE("✓ ",O182)))</f>
        <v>🍻 Fernand</v>
      </c>
    </row>
    <row r="183" spans="9:16" x14ac:dyDescent="0.2">
      <c r="I183" s="209">
        <v>42216</v>
      </c>
      <c r="J183" s="418" t="str">
        <f>IF(Introduction!$E$7=1,"🌕",IF(Introduction!$E$7=2,"O","⚇"))</f>
        <v>🌕</v>
      </c>
      <c r="L183" s="502">
        <f t="shared" si="13"/>
        <v>180</v>
      </c>
      <c r="M183" s="210">
        <v>28</v>
      </c>
      <c r="N183" s="210">
        <v>6</v>
      </c>
      <c r="O183" s="210" t="s">
        <v>234</v>
      </c>
      <c r="P183" s="210" t="str">
        <f>IF(Introduction!$E$7=1,CONCATENATE("🍻 ",O183),IF(Introduction!$E$7=2,CONCATENATE("Fêtons ",O183),CONCATENATE("✓ ",O183)))</f>
        <v>🍻 Irénée</v>
      </c>
    </row>
    <row r="184" spans="9:16" x14ac:dyDescent="0.2">
      <c r="I184" s="209">
        <v>42223</v>
      </c>
      <c r="J184" s="418" t="str">
        <f>IF(Introduction!$E$7=1,"🌗",IF(Introduction!$E$7=2,"D","☾"))</f>
        <v>🌗</v>
      </c>
      <c r="L184" s="502">
        <f t="shared" si="13"/>
        <v>181</v>
      </c>
      <c r="M184" s="210">
        <v>29</v>
      </c>
      <c r="N184" s="210">
        <v>6</v>
      </c>
      <c r="O184" s="210" t="s">
        <v>235</v>
      </c>
      <c r="P184" s="210" t="str">
        <f>IF(Introduction!$E$7=1,CONCATENATE("🍻 ",O184),IF(Introduction!$E$7=2,CONCATENATE("Fêtons ",O184),CONCATENATE("✓ ",O184)))</f>
        <v>🍻 Paul, Pierre</v>
      </c>
    </row>
    <row r="185" spans="9:16" x14ac:dyDescent="0.2">
      <c r="I185" s="209">
        <v>42230</v>
      </c>
      <c r="J185" s="418" t="str">
        <f>IF(Introduction!$E$7=1,"🌑",IF(Introduction!$E$7=2,"N","⚉"))</f>
        <v>🌑</v>
      </c>
      <c r="L185" s="502">
        <f t="shared" si="13"/>
        <v>182</v>
      </c>
      <c r="M185" s="210">
        <v>30</v>
      </c>
      <c r="N185" s="210">
        <v>6</v>
      </c>
      <c r="O185" s="210" t="s">
        <v>236</v>
      </c>
      <c r="P185" s="210" t="str">
        <f>IF(Introduction!$E$7=1,CONCATENATE("🍻 ",O185),IF(Introduction!$E$7=2,CONCATENATE("Fêtons ",O185),CONCATENATE("✓ ",O185)))</f>
        <v>🍻 Adolphe, Martial</v>
      </c>
    </row>
    <row r="186" spans="9:16" x14ac:dyDescent="0.2">
      <c r="I186" s="209">
        <v>42238</v>
      </c>
      <c r="J186" s="418" t="str">
        <f>IF(Introduction!$E$7=1,"🌓",IF(Introduction!$E$7=2,"P","☽"))</f>
        <v>🌓</v>
      </c>
      <c r="L186" s="502">
        <f t="shared" si="13"/>
        <v>183</v>
      </c>
      <c r="M186" s="210">
        <v>1</v>
      </c>
      <c r="N186" s="210">
        <v>7</v>
      </c>
      <c r="O186" s="210" t="s">
        <v>237</v>
      </c>
      <c r="P186" s="210" t="str">
        <f>IF(Introduction!$E$7=1,CONCATENATE("🍻 ",O186),IF(Introduction!$E$7=2,CONCATENATE("Fêtons ",O186),CONCATENATE("✓ ",O186)))</f>
        <v>🍻 Aaron, Esther, Thierry</v>
      </c>
    </row>
    <row r="187" spans="9:16" x14ac:dyDescent="0.2">
      <c r="I187" s="209">
        <v>42245</v>
      </c>
      <c r="J187" s="418" t="str">
        <f>IF(Introduction!$E$7=1,"🌕",IF(Introduction!$E$7=2,"O","⚇"))</f>
        <v>🌕</v>
      </c>
      <c r="L187" s="502">
        <f t="shared" si="13"/>
        <v>184</v>
      </c>
      <c r="M187" s="210">
        <v>2</v>
      </c>
      <c r="N187" s="210">
        <v>7</v>
      </c>
      <c r="O187" s="210" t="s">
        <v>238</v>
      </c>
      <c r="P187" s="210" t="str">
        <f>IF(Introduction!$E$7=1,CONCATENATE("🍻 ",O187),IF(Introduction!$E$7=2,CONCATENATE("Fêtons ",O187),CONCATENATE("✓ ",O187)))</f>
        <v>🍻 Martinien</v>
      </c>
    </row>
    <row r="188" spans="9:16" x14ac:dyDescent="0.2">
      <c r="I188" s="209">
        <v>42252</v>
      </c>
      <c r="J188" s="418" t="str">
        <f>IF(Introduction!$E$7=1,"🌗",IF(Introduction!$E$7=2,"D","☾"))</f>
        <v>🌗</v>
      </c>
      <c r="L188" s="502">
        <f t="shared" si="13"/>
        <v>185</v>
      </c>
      <c r="M188" s="210">
        <v>3</v>
      </c>
      <c r="N188" s="210">
        <v>7</v>
      </c>
      <c r="O188" s="210" t="s">
        <v>239</v>
      </c>
      <c r="P188" s="210" t="str">
        <f>IF(Introduction!$E$7=1,CONCATENATE("🍻 ",O188),IF(Introduction!$E$7=2,CONCATENATE("Fêtons ",O188),CONCATENATE("✓ ",O188)))</f>
        <v>🍻 Anatole, Thomas</v>
      </c>
    </row>
    <row r="189" spans="9:16" x14ac:dyDescent="0.2">
      <c r="I189" s="209">
        <v>42260</v>
      </c>
      <c r="J189" s="418" t="str">
        <f>IF(Introduction!$E$7=1,"🌑",IF(Introduction!$E$7=2,"N","⚉"))</f>
        <v>🌑</v>
      </c>
      <c r="L189" s="502">
        <f t="shared" si="13"/>
        <v>186</v>
      </c>
      <c r="M189" s="210">
        <v>4</v>
      </c>
      <c r="N189" s="210">
        <v>7</v>
      </c>
      <c r="O189" s="210" t="s">
        <v>240</v>
      </c>
      <c r="P189" s="210" t="str">
        <f>IF(Introduction!$E$7=1,CONCATENATE("🍻 ",O189),IF(Introduction!$E$7=2,CONCATENATE("Fêtons ",O189),CONCATENATE("✓ ",O189)))</f>
        <v>🍻 Berthe, Florent</v>
      </c>
    </row>
    <row r="190" spans="9:16" x14ac:dyDescent="0.2">
      <c r="I190" s="209">
        <v>42268</v>
      </c>
      <c r="J190" s="418" t="str">
        <f>IF(Introduction!$E$7=1,"🌓",IF(Introduction!$E$7=2,"P","☽"))</f>
        <v>🌓</v>
      </c>
      <c r="L190" s="502">
        <f t="shared" si="13"/>
        <v>187</v>
      </c>
      <c r="M190" s="210">
        <v>5</v>
      </c>
      <c r="N190" s="210">
        <v>7</v>
      </c>
      <c r="O190" s="210" t="s">
        <v>219</v>
      </c>
      <c r="P190" s="210" t="str">
        <f>IF(Introduction!$E$7=1,CONCATENATE("🍻 ",O190),IF(Introduction!$E$7=2,CONCATENATE("Fêtons ",O190),CONCATENATE("✓ ",O190)))</f>
        <v>🍻 Antoine</v>
      </c>
    </row>
    <row r="191" spans="9:16" x14ac:dyDescent="0.2">
      <c r="I191" s="209">
        <v>42275</v>
      </c>
      <c r="J191" s="418" t="str">
        <f>IF(Introduction!$E$7=1,"🌕",IF(Introduction!$E$7=2,"O","⚇"))</f>
        <v>🌕</v>
      </c>
      <c r="L191" s="502">
        <f t="shared" si="13"/>
        <v>188</v>
      </c>
      <c r="M191" s="210">
        <v>6</v>
      </c>
      <c r="N191" s="210">
        <v>7</v>
      </c>
      <c r="O191" s="210" t="s">
        <v>241</v>
      </c>
      <c r="P191" s="210" t="str">
        <f>IF(Introduction!$E$7=1,CONCATENATE("🍻 ",O191),IF(Introduction!$E$7=2,CONCATENATE("Fêtons ",O191),CONCATENATE("✓ ",O191)))</f>
        <v>🍻 Nolwen, Mariette</v>
      </c>
    </row>
    <row r="192" spans="9:16" x14ac:dyDescent="0.2">
      <c r="I192" s="209">
        <v>42281</v>
      </c>
      <c r="J192" s="418" t="str">
        <f>IF(Introduction!$E$7=1,"🌗",IF(Introduction!$E$7=2,"D","☾"))</f>
        <v>🌗</v>
      </c>
      <c r="L192" s="502">
        <f t="shared" si="13"/>
        <v>189</v>
      </c>
      <c r="M192" s="210">
        <v>7</v>
      </c>
      <c r="N192" s="210">
        <v>7</v>
      </c>
      <c r="O192" s="210" t="s">
        <v>242</v>
      </c>
      <c r="P192" s="210" t="str">
        <f>IF(Introduction!$E$7=1,CONCATENATE("🍻 ",O192),IF(Introduction!$E$7=2,CONCATENATE("Fêtons ",O192),CONCATENATE("✓ ",O192)))</f>
        <v>🍻 Raoul</v>
      </c>
    </row>
    <row r="193" spans="9:16" x14ac:dyDescent="0.2">
      <c r="I193" s="209">
        <v>42290</v>
      </c>
      <c r="J193" s="418" t="str">
        <f>IF(Introduction!$E$7=1,"🌑",IF(Introduction!$E$7=2,"N","⚉"))</f>
        <v>🌑</v>
      </c>
      <c r="L193" s="502">
        <f t="shared" si="13"/>
        <v>190</v>
      </c>
      <c r="M193" s="210">
        <v>8</v>
      </c>
      <c r="N193" s="210">
        <v>7</v>
      </c>
      <c r="O193" s="210" t="s">
        <v>243</v>
      </c>
      <c r="P193" s="210" t="str">
        <f>IF(Introduction!$E$7=1,CONCATENATE("🍻 ",O193),IF(Introduction!$E$7=2,CONCATENATE("Fêtons ",O193),CONCATENATE("✓ ",O193)))</f>
        <v>🍻 Edgard, Priscilla, Thibaud</v>
      </c>
    </row>
    <row r="194" spans="9:16" x14ac:dyDescent="0.2">
      <c r="I194" s="209">
        <v>42297</v>
      </c>
      <c r="J194" s="418" t="str">
        <f>IF(Introduction!$E$7=1,"🌓",IF(Introduction!$E$7=2,"P","☽"))</f>
        <v>🌓</v>
      </c>
      <c r="L194" s="502">
        <f t="shared" si="13"/>
        <v>191</v>
      </c>
      <c r="M194" s="210">
        <v>9</v>
      </c>
      <c r="N194" s="210">
        <v>7</v>
      </c>
      <c r="O194" s="210" t="s">
        <v>244</v>
      </c>
      <c r="P194" s="210" t="str">
        <f>IF(Introduction!$E$7=1,CONCATENATE("🍻 ",O194),IF(Introduction!$E$7=2,CONCATENATE("Fêtons ",O194),CONCATENATE("✓ ",O194)))</f>
        <v>🍻 Amandine, Hermine, Marianne, Procule</v>
      </c>
    </row>
    <row r="195" spans="9:16" x14ac:dyDescent="0.2">
      <c r="I195" s="209">
        <v>42304</v>
      </c>
      <c r="J195" s="418" t="str">
        <f>IF(Introduction!$E$7=1,"🌕",IF(Introduction!$E$7=2,"O","⚇"))</f>
        <v>🌕</v>
      </c>
      <c r="L195" s="502">
        <f t="shared" si="13"/>
        <v>192</v>
      </c>
      <c r="M195" s="210">
        <v>10</v>
      </c>
      <c r="N195" s="210">
        <v>7</v>
      </c>
      <c r="O195" s="210" t="s">
        <v>245</v>
      </c>
      <c r="P195" s="210" t="str">
        <f>IF(Introduction!$E$7=1,CONCATENATE("🍻 ",O195),IF(Introduction!$E$7=2,CONCATENATE("Fêtons ",O195),CONCATENATE("✓ ",O195)))</f>
        <v>🍻 Ulrich</v>
      </c>
    </row>
    <row r="196" spans="9:16" x14ac:dyDescent="0.2">
      <c r="I196" s="209">
        <v>42311</v>
      </c>
      <c r="J196" s="418" t="str">
        <f>IF(Introduction!$E$7=1,"🌗",IF(Introduction!$E$7=2,"D","☾"))</f>
        <v>🌗</v>
      </c>
      <c r="L196" s="502">
        <f t="shared" si="13"/>
        <v>193</v>
      </c>
      <c r="M196" s="210">
        <v>11</v>
      </c>
      <c r="N196" s="210">
        <v>7</v>
      </c>
      <c r="O196" s="210" t="s">
        <v>246</v>
      </c>
      <c r="P196" s="210" t="str">
        <f>IF(Introduction!$E$7=1,CONCATENATE("🍻 ",O196),IF(Introduction!$E$7=2,CONCATENATE("Fêtons ",O196),CONCATENATE("✓ ",O196)))</f>
        <v>🍻 Benoît, Olga, Savin, Yolande</v>
      </c>
    </row>
    <row r="197" spans="9:16" x14ac:dyDescent="0.2">
      <c r="I197" s="209">
        <v>42319</v>
      </c>
      <c r="J197" s="418" t="str">
        <f>IF(Introduction!$E$7=1,"🌑",IF(Introduction!$E$7=2,"N","⚉"))</f>
        <v>🌑</v>
      </c>
      <c r="L197" s="502">
        <f t="shared" ref="L197:L260" si="14">DATE(,N197,M197)</f>
        <v>194</v>
      </c>
      <c r="M197" s="210">
        <v>12</v>
      </c>
      <c r="N197" s="210">
        <v>7</v>
      </c>
      <c r="O197" s="210" t="s">
        <v>247</v>
      </c>
      <c r="P197" s="210" t="str">
        <f>IF(Introduction!$E$7=1,CONCATENATE("🍻 ",O197),IF(Introduction!$E$7=2,CONCATENATE("Fêtons ",O197),CONCATENATE("✓ ",O197)))</f>
        <v>🍻 Jason, Olivier</v>
      </c>
    </row>
    <row r="198" spans="9:16" x14ac:dyDescent="0.2">
      <c r="I198" s="209">
        <v>42327</v>
      </c>
      <c r="J198" s="418" t="str">
        <f>IF(Introduction!$E$7=1,"🌓",IF(Introduction!$E$7=2,"P","☽"))</f>
        <v>🌓</v>
      </c>
      <c r="L198" s="502">
        <f t="shared" si="14"/>
        <v>195</v>
      </c>
      <c r="M198" s="210">
        <v>13</v>
      </c>
      <c r="N198" s="210">
        <v>7</v>
      </c>
      <c r="O198" s="210" t="s">
        <v>248</v>
      </c>
      <c r="P198" s="210" t="str">
        <f>IF(Introduction!$E$7=1,CONCATENATE("🍻 ",O198),IF(Introduction!$E$7=2,CONCATENATE("Fêtons ",O198),CONCATENATE("✓ ",O198)))</f>
        <v>🍻 Enzo, Eugène, Henri, Joël</v>
      </c>
    </row>
    <row r="199" spans="9:16" x14ac:dyDescent="0.2">
      <c r="I199" s="209">
        <v>42333</v>
      </c>
      <c r="J199" s="418" t="str">
        <f>IF(Introduction!$E$7=1,"🌕",IF(Introduction!$E$7=2,"O","⚇"))</f>
        <v>🌕</v>
      </c>
      <c r="L199" s="502">
        <f t="shared" si="14"/>
        <v>196</v>
      </c>
      <c r="M199" s="210">
        <v>14</v>
      </c>
      <c r="N199" s="210">
        <v>7</v>
      </c>
      <c r="O199" s="210" t="s">
        <v>249</v>
      </c>
      <c r="P199" s="210" t="str">
        <f>IF(Introduction!$E$7=1,CONCATENATE("🍻 ",O199),IF(Introduction!$E$7=2,CONCATENATE("Fêtons ",O199),CONCATENATE("✓ ",O199)))</f>
        <v>🍻 Camille</v>
      </c>
    </row>
    <row r="200" spans="9:16" x14ac:dyDescent="0.2">
      <c r="I200" s="209">
        <v>42341</v>
      </c>
      <c r="J200" s="418" t="str">
        <f>IF(Introduction!$E$7=1,"🌗",IF(Introduction!$E$7=2,"D","☾"))</f>
        <v>🌗</v>
      </c>
      <c r="L200" s="502">
        <f t="shared" si="14"/>
        <v>197</v>
      </c>
      <c r="M200" s="210">
        <v>15</v>
      </c>
      <c r="N200" s="210">
        <v>7</v>
      </c>
      <c r="O200" s="210" t="s">
        <v>250</v>
      </c>
      <c r="P200" s="210" t="str">
        <f>IF(Introduction!$E$7=1,CONCATENATE("🍻 ",O200),IF(Introduction!$E$7=2,CONCATENATE("Fêtons ",O200),CONCATENATE("✓ ",O200)))</f>
        <v>🍻 Donald, Vladimir</v>
      </c>
    </row>
    <row r="201" spans="9:16" x14ac:dyDescent="0.2">
      <c r="I201" s="209">
        <v>42349</v>
      </c>
      <c r="J201" s="418" t="str">
        <f>IF(Introduction!$E$7=1,"🌑",IF(Introduction!$E$7=2,"N","⚉"))</f>
        <v>🌑</v>
      </c>
      <c r="L201" s="502">
        <f t="shared" si="14"/>
        <v>198</v>
      </c>
      <c r="M201" s="210">
        <v>16</v>
      </c>
      <c r="N201" s="210">
        <v>7</v>
      </c>
      <c r="O201" s="210" t="s">
        <v>251</v>
      </c>
      <c r="P201" s="210" t="str">
        <f>IF(Introduction!$E$7=1,CONCATENATE("🍻 ",O201),IF(Introduction!$E$7=2,CONCATENATE("Fêtons ",O201),CONCATENATE("✓ ",O201)))</f>
        <v>🍻 Elvire, Dolores</v>
      </c>
    </row>
    <row r="202" spans="9:16" x14ac:dyDescent="0.2">
      <c r="I202" s="209">
        <v>42356</v>
      </c>
      <c r="J202" s="418" t="str">
        <f>IF(Introduction!$E$7=1,"🌓",IF(Introduction!$E$7=2,"P","☽"))</f>
        <v>🌓</v>
      </c>
      <c r="L202" s="502">
        <f t="shared" si="14"/>
        <v>199</v>
      </c>
      <c r="M202" s="210">
        <v>17</v>
      </c>
      <c r="N202" s="210">
        <v>7</v>
      </c>
      <c r="O202" s="210" t="s">
        <v>252</v>
      </c>
      <c r="P202" s="210" t="str">
        <f>IF(Introduction!$E$7=1,CONCATENATE("🍻 ",O202),IF(Introduction!$E$7=2,CONCATENATE("Fêtons ",O202),CONCATENATE("✓ ",O202)))</f>
        <v>🍻 Alexis, Arlette, Charlotte, Marceline</v>
      </c>
    </row>
    <row r="203" spans="9:16" x14ac:dyDescent="0.2">
      <c r="I203" s="209">
        <v>42363</v>
      </c>
      <c r="J203" s="418" t="str">
        <f>IF(Introduction!$E$7=1,"🌕",IF(Introduction!$E$7=2,"O","⚇"))</f>
        <v>🌕</v>
      </c>
      <c r="L203" s="502">
        <f t="shared" si="14"/>
        <v>200</v>
      </c>
      <c r="M203" s="210">
        <v>18</v>
      </c>
      <c r="N203" s="210">
        <v>7</v>
      </c>
      <c r="O203" s="210" t="s">
        <v>253</v>
      </c>
      <c r="P203" s="210" t="str">
        <f>IF(Introduction!$E$7=1,CONCATENATE("🍻 ",O203),IF(Introduction!$E$7=2,CONCATENATE("Fêtons ",O203),CONCATENATE("✓ ",O203)))</f>
        <v>🍻 Frédéric</v>
      </c>
    </row>
    <row r="204" spans="9:16" x14ac:dyDescent="0.2">
      <c r="I204" s="209">
        <v>42371</v>
      </c>
      <c r="J204" s="418" t="str">
        <f>IF(Introduction!$E$7=1,"🌗",IF(Introduction!$E$7=2,"D","☾"))</f>
        <v>🌗</v>
      </c>
      <c r="L204" s="502">
        <f t="shared" si="14"/>
        <v>201</v>
      </c>
      <c r="M204" s="210">
        <v>19</v>
      </c>
      <c r="N204" s="210">
        <v>7</v>
      </c>
      <c r="O204" s="210" t="s">
        <v>254</v>
      </c>
      <c r="P204" s="210" t="str">
        <f>IF(Introduction!$E$7=1,CONCATENATE("🍻 ",O204),IF(Introduction!$E$7=2,CONCATENATE("Fêtons ",O204),CONCATENATE("✓ ",O204)))</f>
        <v>🍻 Arsène, Micheline</v>
      </c>
    </row>
    <row r="205" spans="9:16" x14ac:dyDescent="0.2">
      <c r="I205" s="209">
        <v>42379</v>
      </c>
      <c r="J205" s="418" t="str">
        <f>IF(Introduction!$E$7=1,"🌑",IF(Introduction!$E$7=2,"N","⚉"))</f>
        <v>🌑</v>
      </c>
      <c r="L205" s="502">
        <f t="shared" si="14"/>
        <v>202</v>
      </c>
      <c r="M205" s="210">
        <v>20</v>
      </c>
      <c r="N205" s="210">
        <v>7</v>
      </c>
      <c r="O205" s="210" t="s">
        <v>255</v>
      </c>
      <c r="P205" s="210" t="str">
        <f>IF(Introduction!$E$7=1,CONCATENATE("🍻 ",O205),IF(Introduction!$E$7=2,CONCATENATE("Fêtons ",O205),CONCATENATE("✓ ",O205)))</f>
        <v>🍻 Elie, Marguerite, Marine</v>
      </c>
    </row>
    <row r="206" spans="9:16" x14ac:dyDescent="0.2">
      <c r="I206" s="209">
        <v>42385</v>
      </c>
      <c r="J206" s="418" t="str">
        <f>IF(Introduction!$E$7=1,"🌓",IF(Introduction!$E$7=2,"P","☽"))</f>
        <v>🌓</v>
      </c>
      <c r="L206" s="502">
        <f t="shared" si="14"/>
        <v>203</v>
      </c>
      <c r="M206" s="210">
        <v>21</v>
      </c>
      <c r="N206" s="210">
        <v>7</v>
      </c>
      <c r="O206" s="210" t="s">
        <v>256</v>
      </c>
      <c r="P206" s="210" t="str">
        <f>IF(Introduction!$E$7=1,CONCATENATE("🍻 ",O206),IF(Introduction!$E$7=2,CONCATENATE("Fêtons ",O206),CONCATENATE("✓ ",O206)))</f>
        <v>🍻 Rudolphe, Térence, Victor</v>
      </c>
    </row>
    <row r="207" spans="9:16" x14ac:dyDescent="0.2">
      <c r="I207" s="209">
        <v>42393</v>
      </c>
      <c r="J207" s="418" t="str">
        <f>IF(Introduction!$E$7=1,"🌕",IF(Introduction!$E$7=2,"O","⚇"))</f>
        <v>🌕</v>
      </c>
      <c r="L207" s="502">
        <f t="shared" si="14"/>
        <v>204</v>
      </c>
      <c r="M207" s="210">
        <v>22</v>
      </c>
      <c r="N207" s="210">
        <v>7</v>
      </c>
      <c r="O207" s="210" t="s">
        <v>257</v>
      </c>
      <c r="P207" s="210" t="str">
        <f>IF(Introduction!$E$7=1,CONCATENATE("🍻 ",O207),IF(Introduction!$E$7=2,CONCATENATE("Fêtons ",O207),CONCATENATE("✓ ",O207)))</f>
        <v>🍻 Madeleine, Wandrille</v>
      </c>
    </row>
    <row r="208" spans="9:16" x14ac:dyDescent="0.2">
      <c r="I208" s="209">
        <v>42401</v>
      </c>
      <c r="J208" s="418" t="str">
        <f>IF(Introduction!$E$7=1,"🌗",IF(Introduction!$E$7=2,"D","☾"))</f>
        <v>🌗</v>
      </c>
      <c r="L208" s="502">
        <f t="shared" si="14"/>
        <v>205</v>
      </c>
      <c r="M208" s="210">
        <v>23</v>
      </c>
      <c r="N208" s="210">
        <v>7</v>
      </c>
      <c r="O208" s="210" t="s">
        <v>258</v>
      </c>
      <c r="P208" s="210" t="str">
        <f>IF(Introduction!$E$7=1,CONCATENATE("🍻 ",O208),IF(Introduction!$E$7=2,CONCATENATE("Fêtons ",O208),CONCATENATE("✓ ",O208)))</f>
        <v>🍻 Brigitte</v>
      </c>
    </row>
    <row r="209" spans="9:16" x14ac:dyDescent="0.2">
      <c r="I209" s="209">
        <v>42408</v>
      </c>
      <c r="J209" s="418" t="str">
        <f>IF(Introduction!$E$7=1,"🌑",IF(Introduction!$E$7=2,"N","⚉"))</f>
        <v>🌑</v>
      </c>
      <c r="L209" s="502">
        <f t="shared" si="14"/>
        <v>206</v>
      </c>
      <c r="M209" s="210">
        <v>24</v>
      </c>
      <c r="N209" s="210">
        <v>7</v>
      </c>
      <c r="O209" s="210" t="s">
        <v>259</v>
      </c>
      <c r="P209" s="210" t="str">
        <f>IF(Introduction!$E$7=1,CONCATENATE("🍻 ",O209),IF(Introduction!$E$7=2,CONCATENATE("Fêtons ",O209),CONCATENATE("✓ ",O209)))</f>
        <v>🍻 Christine, Ségolène</v>
      </c>
    </row>
    <row r="210" spans="9:16" x14ac:dyDescent="0.2">
      <c r="I210" s="209">
        <v>42415</v>
      </c>
      <c r="J210" s="418" t="str">
        <f>IF(Introduction!$E$7=1,"🌓",IF(Introduction!$E$7=2,"P","☽"))</f>
        <v>🌓</v>
      </c>
      <c r="L210" s="502">
        <f t="shared" si="14"/>
        <v>207</v>
      </c>
      <c r="M210" s="210">
        <v>25</v>
      </c>
      <c r="N210" s="210">
        <v>7</v>
      </c>
      <c r="O210" s="210" t="s">
        <v>260</v>
      </c>
      <c r="P210" s="210" t="str">
        <f>IF(Introduction!$E$7=1,CONCATENATE("🍻 ",O210),IF(Introduction!$E$7=2,CONCATENATE("Fêtons ",O210),CONCATENATE("✓ ",O210)))</f>
        <v>🍻 Jacques, Valentine</v>
      </c>
    </row>
    <row r="211" spans="9:16" x14ac:dyDescent="0.2">
      <c r="I211" s="209">
        <v>42422</v>
      </c>
      <c r="J211" s="418" t="str">
        <f>IF(Introduction!$E$7=1,"🌕",IF(Introduction!$E$7=2,"O","⚇"))</f>
        <v>🌕</v>
      </c>
      <c r="L211" s="502">
        <f t="shared" si="14"/>
        <v>208</v>
      </c>
      <c r="M211" s="210">
        <v>26</v>
      </c>
      <c r="N211" s="210">
        <v>7</v>
      </c>
      <c r="O211" s="210" t="s">
        <v>261</v>
      </c>
      <c r="P211" s="210" t="str">
        <f>IF(Introduction!$E$7=1,CONCATENATE("🍻 ",O211),IF(Introduction!$E$7=2,CONCATENATE("Fêtons ",O211),CONCATENATE("✓ ",O211)))</f>
        <v>🍻 Anaïs,Anne, Hannah, Joachim</v>
      </c>
    </row>
    <row r="212" spans="9:16" x14ac:dyDescent="0.2">
      <c r="I212" s="209">
        <v>42430</v>
      </c>
      <c r="J212" s="418" t="str">
        <f>IF(Introduction!$E$7=1,"🌗",IF(Introduction!$E$7=2,"D","☾"))</f>
        <v>🌗</v>
      </c>
      <c r="L212" s="502">
        <f t="shared" si="14"/>
        <v>209</v>
      </c>
      <c r="M212" s="210">
        <v>27</v>
      </c>
      <c r="N212" s="210">
        <v>7</v>
      </c>
      <c r="O212" s="210" t="s">
        <v>262</v>
      </c>
      <c r="P212" s="210" t="str">
        <f>IF(Introduction!$E$7=1,CONCATENATE("🍻 ",O212),IF(Introduction!$E$7=2,CONCATENATE("Fêtons ",O212),CONCATENATE("✓ ",O212)))</f>
        <v>🍻 Aurèle, Nathalie</v>
      </c>
    </row>
    <row r="213" spans="9:16" x14ac:dyDescent="0.2">
      <c r="I213" s="209">
        <v>42438</v>
      </c>
      <c r="J213" s="418" t="str">
        <f>IF(Introduction!$E$7=1,"🌑",IF(Introduction!$E$7=2,"N","⚉"))</f>
        <v>🌑</v>
      </c>
      <c r="L213" s="502">
        <f t="shared" si="14"/>
        <v>210</v>
      </c>
      <c r="M213" s="210">
        <v>28</v>
      </c>
      <c r="N213" s="210">
        <v>7</v>
      </c>
      <c r="O213" s="210" t="s">
        <v>263</v>
      </c>
      <c r="P213" s="210" t="str">
        <f>IF(Introduction!$E$7=1,CONCATENATE("🍻 ",O213),IF(Introduction!$E$7=2,CONCATENATE("Fêtons ",O213),CONCATENATE("✓ ",O213)))</f>
        <v>🍻 Samson</v>
      </c>
    </row>
    <row r="214" spans="9:16" x14ac:dyDescent="0.2">
      <c r="I214" s="209">
        <v>42444</v>
      </c>
      <c r="J214" s="418" t="str">
        <f>IF(Introduction!$E$7=1,"🌓",IF(Introduction!$E$7=2,"P","☽"))</f>
        <v>🌓</v>
      </c>
      <c r="L214" s="502">
        <f t="shared" si="14"/>
        <v>211</v>
      </c>
      <c r="M214" s="210">
        <v>29</v>
      </c>
      <c r="N214" s="210">
        <v>7</v>
      </c>
      <c r="O214" s="210" t="s">
        <v>264</v>
      </c>
      <c r="P214" s="210" t="str">
        <f>IF(Introduction!$E$7=1,CONCATENATE("🍻 ",O214),IF(Introduction!$E$7=2,CONCATENATE("Fêtons ",O214),CONCATENATE("✓ ",O214)))</f>
        <v>🍻 Béatrix, Loup, Marthe</v>
      </c>
    </row>
    <row r="215" spans="9:16" x14ac:dyDescent="0.2">
      <c r="I215" s="209">
        <v>42452</v>
      </c>
      <c r="J215" s="418" t="str">
        <f>IF(Introduction!$E$7=1,"🌕",IF(Introduction!$E$7=2,"O","⚇"))</f>
        <v>🌕</v>
      </c>
      <c r="L215" s="502">
        <f t="shared" si="14"/>
        <v>212</v>
      </c>
      <c r="M215" s="210">
        <v>30</v>
      </c>
      <c r="N215" s="210">
        <v>7</v>
      </c>
      <c r="O215" s="210" t="s">
        <v>265</v>
      </c>
      <c r="P215" s="210" t="str">
        <f>IF(Introduction!$E$7=1,CONCATENATE("🍻 ",O215),IF(Introduction!$E$7=2,CONCATENATE("Fêtons ",O215),CONCATENATE("✓ ",O215)))</f>
        <v>🍻 Juliette</v>
      </c>
    </row>
    <row r="216" spans="9:16" x14ac:dyDescent="0.2">
      <c r="I216" s="209">
        <v>42460</v>
      </c>
      <c r="J216" s="418" t="str">
        <f>IF(Introduction!$E$7=1,"🌗",IF(Introduction!$E$7=2,"D","☾"))</f>
        <v>🌗</v>
      </c>
      <c r="L216" s="502">
        <f t="shared" si="14"/>
        <v>213</v>
      </c>
      <c r="M216" s="210">
        <v>31</v>
      </c>
      <c r="N216" s="210">
        <v>7</v>
      </c>
      <c r="O216" s="210" t="s">
        <v>266</v>
      </c>
      <c r="P216" s="210" t="str">
        <f>IF(Introduction!$E$7=1,CONCATENATE("🍻 ",O216),IF(Introduction!$E$7=2,CONCATENATE("Fêtons ",O216),CONCATENATE("✓ ",O216)))</f>
        <v>🍻 Ignace</v>
      </c>
    </row>
    <row r="217" spans="9:16" x14ac:dyDescent="0.2">
      <c r="I217" s="209">
        <v>42467</v>
      </c>
      <c r="J217" s="418" t="str">
        <f>IF(Introduction!$E$7=1,"🌑",IF(Introduction!$E$7=2,"N","⚉"))</f>
        <v>🌑</v>
      </c>
      <c r="L217" s="502">
        <f t="shared" si="14"/>
        <v>214</v>
      </c>
      <c r="M217" s="210">
        <v>1</v>
      </c>
      <c r="N217" s="210">
        <v>8</v>
      </c>
      <c r="O217" s="210" t="s">
        <v>267</v>
      </c>
      <c r="P217" s="210" t="str">
        <f>IF(Introduction!$E$7=1,CONCATENATE("🍻 ",O217),IF(Introduction!$E$7=2,CONCATENATE("Fêtons ",O217),CONCATENATE("✓ ",O217)))</f>
        <v>🍻 Alphonse</v>
      </c>
    </row>
    <row r="218" spans="9:16" x14ac:dyDescent="0.2">
      <c r="I218" s="209">
        <v>42474</v>
      </c>
      <c r="J218" s="418" t="str">
        <f>IF(Introduction!$E$7=1,"🌓",IF(Introduction!$E$7=2,"P","☽"))</f>
        <v>🌓</v>
      </c>
      <c r="L218" s="502">
        <f t="shared" si="14"/>
        <v>215</v>
      </c>
      <c r="M218" s="210">
        <v>2</v>
      </c>
      <c r="N218" s="210">
        <v>8</v>
      </c>
      <c r="O218" s="210" t="s">
        <v>268</v>
      </c>
      <c r="P218" s="210" t="str">
        <f>IF(Introduction!$E$7=1,CONCATENATE("🍻 ",O218),IF(Introduction!$E$7=2,CONCATENATE("Fêtons ",O218),CONCATENATE("✓ ",O218)))</f>
        <v>🍻 Eusèbe, Julien, Eymard</v>
      </c>
    </row>
    <row r="219" spans="9:16" x14ac:dyDescent="0.2">
      <c r="I219" s="209">
        <v>42482</v>
      </c>
      <c r="J219" s="418" t="str">
        <f>IF(Introduction!$E$7=1,"🌕",IF(Introduction!$E$7=2,"O","⚇"))</f>
        <v>🌕</v>
      </c>
      <c r="L219" s="502">
        <f t="shared" si="14"/>
        <v>216</v>
      </c>
      <c r="M219" s="210">
        <v>3</v>
      </c>
      <c r="N219" s="210">
        <v>8</v>
      </c>
      <c r="O219" s="210" t="s">
        <v>269</v>
      </c>
      <c r="P219" s="210" t="str">
        <f>IF(Introduction!$E$7=1,CONCATENATE("🍻 ",O219),IF(Introduction!$E$7=2,CONCATENATE("Fêtons ",O219),CONCATENATE("✓ ",O219)))</f>
        <v>🍻 Lydie</v>
      </c>
    </row>
    <row r="220" spans="9:16" x14ac:dyDescent="0.2">
      <c r="I220" s="209">
        <v>42490</v>
      </c>
      <c r="J220" s="418" t="str">
        <f>IF(Introduction!$E$7=1,"🌗",IF(Introduction!$E$7=2,"D","☾"))</f>
        <v>🌗</v>
      </c>
      <c r="L220" s="502">
        <f t="shared" si="14"/>
        <v>217</v>
      </c>
      <c r="M220" s="210">
        <v>4</v>
      </c>
      <c r="N220" s="210">
        <v>8</v>
      </c>
      <c r="O220" s="210" t="s">
        <v>270</v>
      </c>
      <c r="P220" s="210" t="str">
        <f>IF(Introduction!$E$7=1,CONCATENATE("🍻 ",O220),IF(Introduction!$E$7=2,CONCATENATE("Fêtons ",O220),CONCATENATE("✓ ",O220)))</f>
        <v>🍻 Jean-Marie</v>
      </c>
    </row>
    <row r="221" spans="9:16" x14ac:dyDescent="0.2">
      <c r="I221" s="209">
        <v>42496</v>
      </c>
      <c r="J221" s="418" t="str">
        <f>IF(Introduction!$E$7=1,"🌑",IF(Introduction!$E$7=2,"N","⚉"))</f>
        <v>🌑</v>
      </c>
      <c r="L221" s="502">
        <f t="shared" si="14"/>
        <v>218</v>
      </c>
      <c r="M221" s="210">
        <v>5</v>
      </c>
      <c r="N221" s="210">
        <v>8</v>
      </c>
      <c r="O221" s="210" t="s">
        <v>271</v>
      </c>
      <c r="P221" s="210" t="str">
        <f>IF(Introduction!$E$7=1,CONCATENATE("🍻 ",O221),IF(Introduction!$E$7=2,CONCATENATE("Fêtons ",O221),CONCATENATE("✓ ",O221)))</f>
        <v>🍻 Abel</v>
      </c>
    </row>
    <row r="222" spans="9:16" x14ac:dyDescent="0.2">
      <c r="I222" s="209">
        <v>42503</v>
      </c>
      <c r="J222" s="418" t="str">
        <f>IF(Introduction!$E$7=1,"🌓",IF(Introduction!$E$7=2,"P","☽"))</f>
        <v>🌓</v>
      </c>
      <c r="L222" s="502">
        <f t="shared" si="14"/>
        <v>219</v>
      </c>
      <c r="M222" s="210">
        <v>6</v>
      </c>
      <c r="N222" s="210">
        <v>8</v>
      </c>
      <c r="O222" s="210" t="s">
        <v>272</v>
      </c>
      <c r="P222" s="210" t="str">
        <f>IF(Introduction!$E$7=1,CONCATENATE("🍻 ",O222),IF(Introduction!$E$7=2,CONCATENATE("Fêtons ",O222),CONCATENATE("✓ ",O222)))</f>
        <v>🍻 Octavien</v>
      </c>
    </row>
    <row r="223" spans="9:16" x14ac:dyDescent="0.2">
      <c r="I223" s="209">
        <v>42511</v>
      </c>
      <c r="J223" s="418" t="str">
        <f>IF(Introduction!$E$7=1,"🌕",IF(Introduction!$E$7=2,"O","⚇"))</f>
        <v>🌕</v>
      </c>
      <c r="L223" s="502">
        <f t="shared" si="14"/>
        <v>220</v>
      </c>
      <c r="M223" s="210">
        <v>7</v>
      </c>
      <c r="N223" s="210">
        <v>8</v>
      </c>
      <c r="O223" s="210" t="s">
        <v>273</v>
      </c>
      <c r="P223" s="210" t="str">
        <f>IF(Introduction!$E$7=1,CONCATENATE("🍻 ",O223),IF(Introduction!$E$7=2,CONCATENATE("Fêtons ",O223),CONCATENATE("✓ ",O223)))</f>
        <v>🍻 Gaétan</v>
      </c>
    </row>
    <row r="224" spans="9:16" x14ac:dyDescent="0.2">
      <c r="I224" s="209">
        <v>42519</v>
      </c>
      <c r="J224" s="418" t="str">
        <f>IF(Introduction!$E$7=1,"🌗",IF(Introduction!$E$7=2,"D","☾"))</f>
        <v>🌗</v>
      </c>
      <c r="L224" s="502">
        <f t="shared" si="14"/>
        <v>221</v>
      </c>
      <c r="M224" s="210">
        <v>8</v>
      </c>
      <c r="N224" s="210">
        <v>8</v>
      </c>
      <c r="O224" s="210" t="s">
        <v>274</v>
      </c>
      <c r="P224" s="210" t="str">
        <f>IF(Introduction!$E$7=1,CONCATENATE("🍻 ",O224),IF(Introduction!$E$7=2,CONCATENATE("Fêtons ",O224),CONCATENATE("✓ ",O224)))</f>
        <v>🍻 Dominique</v>
      </c>
    </row>
    <row r="225" spans="9:16" x14ac:dyDescent="0.2">
      <c r="I225" s="209">
        <v>42526</v>
      </c>
      <c r="J225" s="418" t="str">
        <f>IF(Introduction!$E$7=1,"🌑",IF(Introduction!$E$7=2,"N","⚉"))</f>
        <v>🌑</v>
      </c>
      <c r="L225" s="502">
        <f t="shared" si="14"/>
        <v>222</v>
      </c>
      <c r="M225" s="210">
        <v>9</v>
      </c>
      <c r="N225" s="210">
        <v>8</v>
      </c>
      <c r="O225" s="210" t="s">
        <v>275</v>
      </c>
      <c r="P225" s="210" t="str">
        <f>IF(Introduction!$E$7=1,CONCATENATE("🍻 ",O225),IF(Introduction!$E$7=2,CONCATENATE("Fêtons ",O225),CONCATENATE("✓ ",O225)))</f>
        <v>🍻 Amour</v>
      </c>
    </row>
    <row r="226" spans="9:16" x14ac:dyDescent="0.2">
      <c r="I226" s="209">
        <v>42533</v>
      </c>
      <c r="J226" s="418" t="str">
        <f>IF(Introduction!$E$7=1,"🌓",IF(Introduction!$E$7=2,"P","☽"))</f>
        <v>🌓</v>
      </c>
      <c r="L226" s="502">
        <f t="shared" si="14"/>
        <v>223</v>
      </c>
      <c r="M226" s="210">
        <v>10</v>
      </c>
      <c r="N226" s="210">
        <v>8</v>
      </c>
      <c r="O226" s="210" t="s">
        <v>276</v>
      </c>
      <c r="P226" s="210" t="str">
        <f>IF(Introduction!$E$7=1,CONCATENATE("🍻 ",O226),IF(Introduction!$E$7=2,CONCATENATE("Fêtons ",O226),CONCATENATE("✓ ",O226)))</f>
        <v>🍻 Laurent</v>
      </c>
    </row>
    <row r="227" spans="9:16" x14ac:dyDescent="0.2">
      <c r="I227" s="209">
        <v>42541</v>
      </c>
      <c r="J227" s="418" t="str">
        <f>IF(Introduction!$E$7=1,"🌕",IF(Introduction!$E$7=2,"O","⚇"))</f>
        <v>🌕</v>
      </c>
      <c r="L227" s="502">
        <f t="shared" si="14"/>
        <v>224</v>
      </c>
      <c r="M227" s="210">
        <v>11</v>
      </c>
      <c r="N227" s="210">
        <v>8</v>
      </c>
      <c r="O227" s="210" t="s">
        <v>277</v>
      </c>
      <c r="P227" s="210" t="str">
        <f>IF(Introduction!$E$7=1,CONCATENATE("🍻 ",O227),IF(Introduction!$E$7=2,CONCATENATE("Fêtons ",O227),CONCATENATE("✓ ",O227)))</f>
        <v>🍻 Claire, Gilberte, Suzanne</v>
      </c>
    </row>
    <row r="228" spans="9:16" x14ac:dyDescent="0.2">
      <c r="I228" s="209">
        <v>42548</v>
      </c>
      <c r="J228" s="418" t="str">
        <f>IF(Introduction!$E$7=1,"🌗",IF(Introduction!$E$7=2,"D","☾"))</f>
        <v>🌗</v>
      </c>
      <c r="L228" s="502">
        <f t="shared" si="14"/>
        <v>225</v>
      </c>
      <c r="M228" s="210">
        <v>12</v>
      </c>
      <c r="N228" s="210">
        <v>8</v>
      </c>
      <c r="O228" s="210" t="s">
        <v>278</v>
      </c>
      <c r="P228" s="210" t="str">
        <f>IF(Introduction!$E$7=1,CONCATENATE("🍻 ",O228),IF(Introduction!$E$7=2,CONCATENATE("Fêtons ",O228),CONCATENATE("✓ ",O228)))</f>
        <v>🍻 Clarisse</v>
      </c>
    </row>
    <row r="229" spans="9:16" x14ac:dyDescent="0.2">
      <c r="I229" s="209">
        <v>42555</v>
      </c>
      <c r="J229" s="418" t="str">
        <f>IF(Introduction!$E$7=1,"🌑",IF(Introduction!$E$7=2,"N","⚉"))</f>
        <v>🌑</v>
      </c>
      <c r="L229" s="502">
        <f t="shared" si="14"/>
        <v>226</v>
      </c>
      <c r="M229" s="210">
        <v>13</v>
      </c>
      <c r="N229" s="210">
        <v>8</v>
      </c>
      <c r="O229" s="210" t="s">
        <v>279</v>
      </c>
      <c r="P229" s="210" t="str">
        <f>IF(Introduction!$E$7=1,CONCATENATE("🍻 ",O229),IF(Introduction!$E$7=2,CONCATENATE("Fêtons ",O229),CONCATENATE("✓ ",O229)))</f>
        <v>🍻 Hippolyte, Radegonde</v>
      </c>
    </row>
    <row r="230" spans="9:16" x14ac:dyDescent="0.2">
      <c r="I230" s="209">
        <v>42563</v>
      </c>
      <c r="J230" s="418" t="str">
        <f>IF(Introduction!$E$7=1,"🌓",IF(Introduction!$E$7=2,"P","☽"))</f>
        <v>🌓</v>
      </c>
      <c r="L230" s="502">
        <f t="shared" si="14"/>
        <v>227</v>
      </c>
      <c r="M230" s="210">
        <v>14</v>
      </c>
      <c r="N230" s="210">
        <v>8</v>
      </c>
      <c r="O230" s="210" t="s">
        <v>280</v>
      </c>
      <c r="P230" s="210" t="str">
        <f>IF(Introduction!$E$7=1,CONCATENATE("🍻 ",O230),IF(Introduction!$E$7=2,CONCATENATE("Fêtons ",O230),CONCATENATE("✓ ",O230)))</f>
        <v>🍻 Évrard</v>
      </c>
    </row>
    <row r="231" spans="9:16" x14ac:dyDescent="0.2">
      <c r="I231" s="209">
        <v>42570</v>
      </c>
      <c r="J231" s="418" t="str">
        <f>IF(Introduction!$E$7=1,"🌕",IF(Introduction!$E$7=2,"O","⚇"))</f>
        <v>🌕</v>
      </c>
      <c r="L231" s="502">
        <f t="shared" si="14"/>
        <v>228</v>
      </c>
      <c r="M231" s="210">
        <v>15</v>
      </c>
      <c r="N231" s="210">
        <v>8</v>
      </c>
      <c r="O231" s="210" t="s">
        <v>281</v>
      </c>
      <c r="P231" s="210" t="str">
        <f>IF(Introduction!$E$7=1,CONCATENATE("🍻 ",O231),IF(Introduction!$E$7=2,CONCATENATE("Fêtons ",O231),CONCATENATE("✓ ",O231)))</f>
        <v>🍻 Alfred, Marie, Mireille</v>
      </c>
    </row>
    <row r="232" spans="9:16" x14ac:dyDescent="0.2">
      <c r="I232" s="209">
        <v>42577</v>
      </c>
      <c r="J232" s="418" t="str">
        <f>IF(Introduction!$E$7=1,"🌗",IF(Introduction!$E$7=2,"D","☾"))</f>
        <v>🌗</v>
      </c>
      <c r="L232" s="502">
        <f t="shared" si="14"/>
        <v>229</v>
      </c>
      <c r="M232" s="210">
        <v>16</v>
      </c>
      <c r="N232" s="210">
        <v>8</v>
      </c>
      <c r="O232" s="210" t="s">
        <v>282</v>
      </c>
      <c r="P232" s="210" t="str">
        <f>IF(Introduction!$E$7=1,CONCATENATE("🍻 ",O232),IF(Introduction!$E$7=2,CONCATENATE("Fêtons ",O232),CONCATENATE("✓ ",O232)))</f>
        <v>🍻 Armel, Roch</v>
      </c>
    </row>
    <row r="233" spans="9:16" x14ac:dyDescent="0.2">
      <c r="I233" s="209">
        <v>42584</v>
      </c>
      <c r="J233" s="418" t="str">
        <f>IF(Introduction!$E$7=1,"🌑",IF(Introduction!$E$7=2,"N","⚉"))</f>
        <v>🌑</v>
      </c>
      <c r="L233" s="502">
        <f t="shared" si="14"/>
        <v>230</v>
      </c>
      <c r="M233" s="210">
        <v>17</v>
      </c>
      <c r="N233" s="210">
        <v>8</v>
      </c>
      <c r="O233" s="210" t="s">
        <v>283</v>
      </c>
      <c r="P233" s="210" t="str">
        <f>IF(Introduction!$E$7=1,CONCATENATE("🍻 ",O233),IF(Introduction!$E$7=2,CONCATENATE("Fêtons ",O233),CONCATENATE("✓ ",O233)))</f>
        <v>🍻 Hyacinthe</v>
      </c>
    </row>
    <row r="234" spans="9:16" x14ac:dyDescent="0.2">
      <c r="I234" s="209">
        <v>42592</v>
      </c>
      <c r="J234" s="418" t="str">
        <f>IF(Introduction!$E$7=1,"🌓",IF(Introduction!$E$7=2,"P","☽"))</f>
        <v>🌓</v>
      </c>
      <c r="L234" s="502">
        <f t="shared" si="14"/>
        <v>231</v>
      </c>
      <c r="M234" s="210">
        <v>18</v>
      </c>
      <c r="N234" s="210">
        <v>8</v>
      </c>
      <c r="O234" s="210" t="s">
        <v>284</v>
      </c>
      <c r="P234" s="210" t="str">
        <f>IF(Introduction!$E$7=1,CONCATENATE("🍻 ",O234),IF(Introduction!$E$7=2,CONCATENATE("Fêtons ",O234),CONCATENATE("✓ ",O234)))</f>
        <v>🍻 Hélène, Læticia</v>
      </c>
    </row>
    <row r="235" spans="9:16" x14ac:dyDescent="0.2">
      <c r="I235" s="209">
        <v>42600</v>
      </c>
      <c r="J235" s="418" t="str">
        <f>IF(Introduction!$E$7=1,"🌕",IF(Introduction!$E$7=2,"O","⚇"))</f>
        <v>🌕</v>
      </c>
      <c r="L235" s="502">
        <f t="shared" si="14"/>
        <v>232</v>
      </c>
      <c r="M235" s="210">
        <v>19</v>
      </c>
      <c r="N235" s="210">
        <v>8</v>
      </c>
      <c r="O235" s="210" t="s">
        <v>285</v>
      </c>
      <c r="P235" s="210" t="str">
        <f>IF(Introduction!$E$7=1,CONCATENATE("🍻 ",O235),IF(Introduction!$E$7=2,CONCATENATE("Fêtons ",O235),CONCATENATE("✓ ",O235)))</f>
        <v>🍻 Jean Eudes</v>
      </c>
    </row>
    <row r="236" spans="9:16" x14ac:dyDescent="0.2">
      <c r="I236" s="209">
        <v>42607</v>
      </c>
      <c r="J236" s="418" t="str">
        <f>IF(Introduction!$E$7=1,"🌗",IF(Introduction!$E$7=2,"D","☾"))</f>
        <v>🌗</v>
      </c>
      <c r="L236" s="502">
        <f t="shared" si="14"/>
        <v>233</v>
      </c>
      <c r="M236" s="210">
        <v>20</v>
      </c>
      <c r="N236" s="210">
        <v>8</v>
      </c>
      <c r="O236" s="210" t="s">
        <v>286</v>
      </c>
      <c r="P236" s="210" t="str">
        <f>IF(Introduction!$E$7=1,CONCATENATE("🍻 ",O236),IF(Introduction!$E$7=2,CONCATENATE("Fêtons ",O236),CONCATENATE("✓ ",O236)))</f>
        <v>🍻 Bernard, Samuel</v>
      </c>
    </row>
    <row r="237" spans="9:16" x14ac:dyDescent="0.2">
      <c r="I237" s="209">
        <v>42614</v>
      </c>
      <c r="J237" s="418" t="str">
        <f>IF(Introduction!$E$7=1,"🌑",IF(Introduction!$E$7=2,"N","⚉"))</f>
        <v>🌑</v>
      </c>
      <c r="L237" s="502">
        <f t="shared" si="14"/>
        <v>234</v>
      </c>
      <c r="M237" s="210">
        <v>21</v>
      </c>
      <c r="N237" s="210">
        <v>8</v>
      </c>
      <c r="O237" s="210" t="s">
        <v>287</v>
      </c>
      <c r="P237" s="210" t="str">
        <f>IF(Introduction!$E$7=1,CONCATENATE("🍻 ",O237),IF(Introduction!$E$7=2,CONCATENATE("Fêtons ",O237),CONCATENATE("✓ ",O237)))</f>
        <v>🍻 Christophe, Grâce, Ombeline</v>
      </c>
    </row>
    <row r="238" spans="9:16" x14ac:dyDescent="0.2">
      <c r="I238" s="209">
        <v>42622</v>
      </c>
      <c r="J238" s="418" t="str">
        <f>IF(Introduction!$E$7=1,"🌓",IF(Introduction!$E$7=2,"P","☽"))</f>
        <v>🌓</v>
      </c>
      <c r="L238" s="502">
        <f t="shared" si="14"/>
        <v>235</v>
      </c>
      <c r="M238" s="210">
        <v>22</v>
      </c>
      <c r="N238" s="210">
        <v>8</v>
      </c>
      <c r="O238" s="210" t="s">
        <v>288</v>
      </c>
      <c r="P238" s="210" t="str">
        <f>IF(Introduction!$E$7=1,CONCATENATE("🍻 ",O238),IF(Introduction!$E$7=2,CONCATENATE("Fêtons ",O238),CONCATENATE("✓ ",O238)))</f>
        <v>🍻 Fabrice, Symphorien</v>
      </c>
    </row>
    <row r="239" spans="9:16" x14ac:dyDescent="0.2">
      <c r="I239" s="209">
        <v>42629</v>
      </c>
      <c r="J239" s="418" t="str">
        <f>IF(Introduction!$E$7=1,"🌕",IF(Introduction!$E$7=2,"O","⚇"))</f>
        <v>🌕</v>
      </c>
      <c r="L239" s="502">
        <f t="shared" si="14"/>
        <v>236</v>
      </c>
      <c r="M239" s="210">
        <v>23</v>
      </c>
      <c r="N239" s="210">
        <v>8</v>
      </c>
      <c r="O239" s="210" t="s">
        <v>289</v>
      </c>
      <c r="P239" s="210" t="str">
        <f>IF(Introduction!$E$7=1,CONCATENATE("🍻 ",O239),IF(Introduction!$E$7=2,CONCATENATE("Fêtons ",O239),CONCATENATE("✓ ",O239)))</f>
        <v>🍻 Rose</v>
      </c>
    </row>
    <row r="240" spans="9:16" x14ac:dyDescent="0.2">
      <c r="I240" s="209">
        <v>42636</v>
      </c>
      <c r="J240" s="418" t="str">
        <f>IF(Introduction!$E$7=1,"🌗",IF(Introduction!$E$7=2,"D","☾"))</f>
        <v>🌗</v>
      </c>
      <c r="L240" s="502">
        <f t="shared" si="14"/>
        <v>237</v>
      </c>
      <c r="M240" s="210">
        <v>24</v>
      </c>
      <c r="N240" s="210">
        <v>8</v>
      </c>
      <c r="O240" s="210" t="s">
        <v>290</v>
      </c>
      <c r="P240" s="210" t="str">
        <f>IF(Introduction!$E$7=1,CONCATENATE("🍻 ",O240),IF(Introduction!$E$7=2,CONCATENATE("Fêtons ",O240),CONCATENATE("✓ ",O240)))</f>
        <v>🍻 Barthélémy</v>
      </c>
    </row>
    <row r="241" spans="9:16" x14ac:dyDescent="0.2">
      <c r="I241" s="209">
        <v>42644</v>
      </c>
      <c r="J241" s="418" t="str">
        <f>IF(Introduction!$E$7=1,"🌑",IF(Introduction!$E$7=2,"N","⚉"))</f>
        <v>🌑</v>
      </c>
      <c r="L241" s="502">
        <f t="shared" si="14"/>
        <v>238</v>
      </c>
      <c r="M241" s="210">
        <v>25</v>
      </c>
      <c r="N241" s="210">
        <v>8</v>
      </c>
      <c r="O241" s="210" t="s">
        <v>291</v>
      </c>
      <c r="P241" s="210" t="str">
        <f>IF(Introduction!$E$7=1,CONCATENATE("🍻 ",O241),IF(Introduction!$E$7=2,CONCATENATE("Fêtons ",O241),CONCATENATE("✓ ",O241)))</f>
        <v>🍻 Louis</v>
      </c>
    </row>
    <row r="242" spans="9:16" x14ac:dyDescent="0.2">
      <c r="I242" s="209">
        <v>42652</v>
      </c>
      <c r="J242" s="418" t="str">
        <f>IF(Introduction!$E$7=1,"🌓",IF(Introduction!$E$7=2,"P","☽"))</f>
        <v>🌓</v>
      </c>
      <c r="L242" s="502">
        <f t="shared" si="14"/>
        <v>239</v>
      </c>
      <c r="M242" s="210">
        <v>26</v>
      </c>
      <c r="N242" s="210">
        <v>8</v>
      </c>
      <c r="O242" s="210" t="s">
        <v>292</v>
      </c>
      <c r="P242" s="210" t="str">
        <f>IF(Introduction!$E$7=1,CONCATENATE("🍻 ",O242),IF(Introduction!$E$7=2,CONCATENATE("Fêtons ",O242),CONCATENATE("✓ ",O242)))</f>
        <v>🍻 Natacha</v>
      </c>
    </row>
    <row r="243" spans="9:16" x14ac:dyDescent="0.2">
      <c r="I243" s="209">
        <v>42659</v>
      </c>
      <c r="J243" s="418" t="str">
        <f>IF(Introduction!$E$7=1,"🌕",IF(Introduction!$E$7=2,"O","⚇"))</f>
        <v>🌕</v>
      </c>
      <c r="L243" s="502">
        <f t="shared" si="14"/>
        <v>240</v>
      </c>
      <c r="M243" s="210">
        <v>27</v>
      </c>
      <c r="N243" s="210">
        <v>8</v>
      </c>
      <c r="O243" s="210" t="s">
        <v>293</v>
      </c>
      <c r="P243" s="210" t="str">
        <f>IF(Introduction!$E$7=1,CONCATENATE("🍻 ",O243),IF(Introduction!$E$7=2,CONCATENATE("Fêtons ",O243),CONCATENATE("✓ ",O243)))</f>
        <v>🍻 Césaire, Monique</v>
      </c>
    </row>
    <row r="244" spans="9:16" x14ac:dyDescent="0.2">
      <c r="I244" s="209">
        <v>42665</v>
      </c>
      <c r="J244" s="418" t="str">
        <f>IF(Introduction!$E$7=1,"🌗",IF(Introduction!$E$7=2,"D","☾"))</f>
        <v>🌗</v>
      </c>
      <c r="L244" s="502">
        <f t="shared" si="14"/>
        <v>241</v>
      </c>
      <c r="M244" s="210">
        <v>28</v>
      </c>
      <c r="N244" s="210">
        <v>8</v>
      </c>
      <c r="O244" s="210" t="s">
        <v>294</v>
      </c>
      <c r="P244" s="210" t="str">
        <f>IF(Introduction!$E$7=1,CONCATENATE("🍻 ",O244),IF(Introduction!$E$7=2,CONCATENATE("Fêtons ",O244),CONCATENATE("✓ ",O244)))</f>
        <v>🍻 Augustin, Elouan</v>
      </c>
    </row>
    <row r="245" spans="9:16" x14ac:dyDescent="0.2">
      <c r="I245" s="209">
        <v>42673</v>
      </c>
      <c r="J245" s="418" t="str">
        <f>IF(Introduction!$E$7=1,"🌑",IF(Introduction!$E$7=2,"N","⚉"))</f>
        <v>🌑</v>
      </c>
      <c r="L245" s="502">
        <f t="shared" si="14"/>
        <v>242</v>
      </c>
      <c r="M245" s="210">
        <v>29</v>
      </c>
      <c r="N245" s="210">
        <v>8</v>
      </c>
      <c r="O245" s="210" t="s">
        <v>295</v>
      </c>
      <c r="P245" s="210" t="str">
        <f>IF(Introduction!$E$7=1,CONCATENATE("🍻 ",O245),IF(Introduction!$E$7=2,CONCATENATE("Fêtons ",O245),CONCATENATE("✓ ",O245)))</f>
        <v>🍻 Médéric, Sabine</v>
      </c>
    </row>
    <row r="246" spans="9:16" x14ac:dyDescent="0.2">
      <c r="I246" s="209">
        <v>42681</v>
      </c>
      <c r="J246" s="418" t="str">
        <f>IF(Introduction!$E$7=1,"🌓",IF(Introduction!$E$7=2,"P","☽"))</f>
        <v>🌓</v>
      </c>
      <c r="L246" s="502">
        <f t="shared" si="14"/>
        <v>243</v>
      </c>
      <c r="M246" s="210">
        <v>30</v>
      </c>
      <c r="N246" s="210">
        <v>8</v>
      </c>
      <c r="O246" s="210" t="s">
        <v>296</v>
      </c>
      <c r="P246" s="210" t="str">
        <f>IF(Introduction!$E$7=1,CONCATENATE("🍻 ",O246),IF(Introduction!$E$7=2,CONCATENATE("Fêtons ",O246),CONCATENATE("✓ ",O246)))</f>
        <v>🍻 Fiacre</v>
      </c>
    </row>
    <row r="247" spans="9:16" x14ac:dyDescent="0.2">
      <c r="I247" s="209">
        <v>42688</v>
      </c>
      <c r="J247" s="418" t="str">
        <f>IF(Introduction!$E$7=1,"🌕",IF(Introduction!$E$7=2,"O","⚇"))</f>
        <v>🌕</v>
      </c>
      <c r="L247" s="502">
        <f t="shared" si="14"/>
        <v>244</v>
      </c>
      <c r="M247" s="210">
        <v>31</v>
      </c>
      <c r="N247" s="210">
        <v>8</v>
      </c>
      <c r="O247" s="210" t="s">
        <v>297</v>
      </c>
      <c r="P247" s="210" t="str">
        <f>IF(Introduction!$E$7=1,CONCATENATE("🍻 ",O247),IF(Introduction!$E$7=2,CONCATENATE("Fêtons ",O247),CONCATENATE("✓ ",O247)))</f>
        <v>🍻 Aristide</v>
      </c>
    </row>
    <row r="248" spans="9:16" x14ac:dyDescent="0.2">
      <c r="I248" s="209">
        <v>42695</v>
      </c>
      <c r="J248" s="418" t="str">
        <f>IF(Introduction!$E$7=1,"🌗",IF(Introduction!$E$7=2,"D","☾"))</f>
        <v>🌗</v>
      </c>
      <c r="L248" s="502">
        <f t="shared" si="14"/>
        <v>245</v>
      </c>
      <c r="M248" s="210">
        <v>1</v>
      </c>
      <c r="N248" s="210">
        <v>9</v>
      </c>
      <c r="O248" s="210" t="s">
        <v>298</v>
      </c>
      <c r="P248" s="210" t="str">
        <f>IF(Introduction!$E$7=1,CONCATENATE("🍻 ",O248),IF(Introduction!$E$7=2,CONCATENATE("Fêtons ",O248),CONCATENATE("✓ ",O248)))</f>
        <v>🍻 Gilles, Jossué</v>
      </c>
    </row>
    <row r="249" spans="9:16" x14ac:dyDescent="0.2">
      <c r="I249" s="209">
        <v>42703</v>
      </c>
      <c r="J249" s="418" t="str">
        <f>IF(Introduction!$E$7=1,"🌑",IF(Introduction!$E$7=2,"N","⚉"))</f>
        <v>🌑</v>
      </c>
      <c r="L249" s="502">
        <f t="shared" si="14"/>
        <v>246</v>
      </c>
      <c r="M249" s="210">
        <v>2</v>
      </c>
      <c r="N249" s="210">
        <v>9</v>
      </c>
      <c r="O249" s="210" t="s">
        <v>299</v>
      </c>
      <c r="P249" s="210" t="str">
        <f>IF(Introduction!$E$7=1,CONCATENATE("🍻 ",O249),IF(Introduction!$E$7=2,CONCATENATE("Fêtons ",O249),CONCATENATE("✓ ",O249)))</f>
        <v>🍻 Ingrid</v>
      </c>
    </row>
    <row r="250" spans="9:16" x14ac:dyDescent="0.2">
      <c r="I250" s="209">
        <v>42711</v>
      </c>
      <c r="J250" s="418" t="str">
        <f>IF(Introduction!$E$7=1,"🌓",IF(Introduction!$E$7=2,"P","☽"))</f>
        <v>🌓</v>
      </c>
      <c r="L250" s="502">
        <f t="shared" si="14"/>
        <v>247</v>
      </c>
      <c r="M250" s="210">
        <v>3</v>
      </c>
      <c r="N250" s="210">
        <v>9</v>
      </c>
      <c r="O250" s="210" t="s">
        <v>300</v>
      </c>
      <c r="P250" s="210" t="str">
        <f>IF(Introduction!$E$7=1,CONCATENATE("🍻 ",O250),IF(Introduction!$E$7=2,CONCATENATE("Fêtons ",O250),CONCATENATE("✓ ",O250)))</f>
        <v>🍻 Grégoire</v>
      </c>
    </row>
    <row r="251" spans="9:16" x14ac:dyDescent="0.2">
      <c r="I251" s="209">
        <v>42718</v>
      </c>
      <c r="J251" s="418" t="str">
        <f>IF(Introduction!$E$7=1,"🌕",IF(Introduction!$E$7=2,"O","⚇"))</f>
        <v>🌕</v>
      </c>
      <c r="L251" s="502">
        <f t="shared" si="14"/>
        <v>248</v>
      </c>
      <c r="M251" s="210">
        <v>4</v>
      </c>
      <c r="N251" s="210">
        <v>9</v>
      </c>
      <c r="O251" s="210" t="s">
        <v>301</v>
      </c>
      <c r="P251" s="210" t="str">
        <f>IF(Introduction!$E$7=1,CONCATENATE("🍻 ",O251),IF(Introduction!$E$7=2,CONCATENATE("Fêtons ",O251),CONCATENATE("✓ ",O251)))</f>
        <v>🍻 Irma, Iris, Moïse, Rosalie</v>
      </c>
    </row>
    <row r="252" spans="9:16" x14ac:dyDescent="0.2">
      <c r="I252" s="209">
        <v>42725</v>
      </c>
      <c r="J252" s="418" t="str">
        <f>IF(Introduction!$E$7=1,"🌗",IF(Introduction!$E$7=2,"D","☾"))</f>
        <v>🌗</v>
      </c>
      <c r="L252" s="502">
        <f t="shared" si="14"/>
        <v>249</v>
      </c>
      <c r="M252" s="210">
        <v>5</v>
      </c>
      <c r="N252" s="210">
        <v>9</v>
      </c>
      <c r="O252" s="210" t="s">
        <v>302</v>
      </c>
      <c r="P252" s="210" t="str">
        <f>IF(Introduction!$E$7=1,CONCATENATE("🍻 ",O252),IF(Introduction!$E$7=2,CONCATENATE("Fêtons ",O252),CONCATENATE("✓ ",O252)))</f>
        <v>🍻 Raïssa</v>
      </c>
    </row>
    <row r="253" spans="9:16" x14ac:dyDescent="0.2">
      <c r="I253" s="209">
        <v>42733</v>
      </c>
      <c r="J253" s="418" t="str">
        <f>IF(Introduction!$E$7=1,"🌑",IF(Introduction!$E$7=2,"N","⚉"))</f>
        <v>🌑</v>
      </c>
      <c r="L253" s="502">
        <f t="shared" si="14"/>
        <v>250</v>
      </c>
      <c r="M253" s="210">
        <v>6</v>
      </c>
      <c r="N253" s="210">
        <v>9</v>
      </c>
      <c r="O253" s="210" t="s">
        <v>303</v>
      </c>
      <c r="P253" s="210" t="str">
        <f>IF(Introduction!$E$7=1,CONCATENATE("🍻 ",O253),IF(Introduction!$E$7=2,CONCATENATE("Fêtons ",O253),CONCATENATE("✓ ",O253)))</f>
        <v>🍻 Bertrand, Eva, Onésiphore</v>
      </c>
    </row>
    <row r="254" spans="9:16" x14ac:dyDescent="0.2">
      <c r="I254" s="209">
        <v>42740</v>
      </c>
      <c r="J254" s="418" t="str">
        <f>IF(Introduction!$E$7=1,"🌓",IF(Introduction!$E$7=2,"P","☽"))</f>
        <v>🌓</v>
      </c>
      <c r="L254" s="502">
        <f t="shared" si="14"/>
        <v>251</v>
      </c>
      <c r="M254" s="210">
        <v>7</v>
      </c>
      <c r="N254" s="210">
        <v>9</v>
      </c>
      <c r="O254" s="210" t="s">
        <v>304</v>
      </c>
      <c r="P254" s="210" t="str">
        <f>IF(Introduction!$E$7=1,CONCATENATE("🍻 ",O254),IF(Introduction!$E$7=2,CONCATENATE("Fêtons ",O254),CONCATENATE("✓ ",O254)))</f>
        <v>🍻 Réjane, Reine</v>
      </c>
    </row>
    <row r="255" spans="9:16" x14ac:dyDescent="0.2">
      <c r="I255" s="209">
        <v>42747</v>
      </c>
      <c r="J255" s="418" t="str">
        <f>IF(Introduction!$E$7=1,"🌕",IF(Introduction!$E$7=2,"O","⚇"))</f>
        <v>🌕</v>
      </c>
      <c r="L255" s="502">
        <f t="shared" si="14"/>
        <v>252</v>
      </c>
      <c r="M255" s="210">
        <v>8</v>
      </c>
      <c r="N255" s="210">
        <v>9</v>
      </c>
      <c r="O255" s="210" t="s">
        <v>305</v>
      </c>
      <c r="P255" s="210" t="str">
        <f>IF(Introduction!$E$7=1,CONCATENATE("🍻 ",O255),IF(Introduction!$E$7=2,CONCATENATE("Fêtons ",O255),CONCATENATE("✓ ",O255)))</f>
        <v>🍻 Adrien, Béline, Corbinien</v>
      </c>
    </row>
    <row r="256" spans="9:16" x14ac:dyDescent="0.2">
      <c r="I256" s="209">
        <v>42754</v>
      </c>
      <c r="J256" s="418" t="str">
        <f>IF(Introduction!$E$7=1,"🌗",IF(Introduction!$E$7=2,"D","☾"))</f>
        <v>🌗</v>
      </c>
      <c r="L256" s="502">
        <f t="shared" si="14"/>
        <v>253</v>
      </c>
      <c r="M256" s="210">
        <v>9</v>
      </c>
      <c r="N256" s="210">
        <v>9</v>
      </c>
      <c r="O256" s="210" t="s">
        <v>306</v>
      </c>
      <c r="P256" s="210" t="str">
        <f>IF(Introduction!$E$7=1,CONCATENATE("🍻 ",O256),IF(Introduction!$E$7=2,CONCATENATE("Fêtons ",O256),CONCATENATE("✓ ",O256)))</f>
        <v>🍻 Alain, Omer</v>
      </c>
    </row>
    <row r="257" spans="9:16" x14ac:dyDescent="0.2">
      <c r="I257" s="209">
        <v>42763</v>
      </c>
      <c r="J257" s="418" t="str">
        <f>IF(Introduction!$E$7=1,"🌑",IF(Introduction!$E$7=2,"N","⚉"))</f>
        <v>🌑</v>
      </c>
      <c r="L257" s="502">
        <f t="shared" si="14"/>
        <v>254</v>
      </c>
      <c r="M257" s="210">
        <v>10</v>
      </c>
      <c r="N257" s="210">
        <v>9</v>
      </c>
      <c r="O257" s="210" t="s">
        <v>307</v>
      </c>
      <c r="P257" s="210" t="str">
        <f>IF(Introduction!$E$7=1,CONCATENATE("🍻 ",O257),IF(Introduction!$E$7=2,CONCATENATE("Fêtons ",O257),CONCATENATE("✓ ",O257)))</f>
        <v>🍻 Inès</v>
      </c>
    </row>
    <row r="258" spans="9:16" x14ac:dyDescent="0.2">
      <c r="I258" s="209">
        <v>42770</v>
      </c>
      <c r="J258" s="418" t="str">
        <f>IF(Introduction!$E$7=1,"🌓",IF(Introduction!$E$7=2,"P","☽"))</f>
        <v>🌓</v>
      </c>
      <c r="L258" s="502">
        <f t="shared" si="14"/>
        <v>255</v>
      </c>
      <c r="M258" s="210">
        <v>11</v>
      </c>
      <c r="N258" s="210">
        <v>9</v>
      </c>
      <c r="O258" s="210" t="s">
        <v>308</v>
      </c>
      <c r="P258" s="210" t="str">
        <f>IF(Introduction!$E$7=1,CONCATENATE("🍻 ",O258),IF(Introduction!$E$7=2,CONCATENATE("Fêtons ",O258),CONCATENATE("✓ ",O258)))</f>
        <v>🍻 Adelphe, Glenn, Vinciane</v>
      </c>
    </row>
    <row r="259" spans="9:16" x14ac:dyDescent="0.2">
      <c r="I259" s="209">
        <v>42777</v>
      </c>
      <c r="J259" s="418" t="str">
        <f>IF(Introduction!$E$7=1,"🌕",IF(Introduction!$E$7=2,"O","⚇"))</f>
        <v>🌕</v>
      </c>
      <c r="L259" s="502">
        <f t="shared" si="14"/>
        <v>256</v>
      </c>
      <c r="M259" s="210">
        <v>12</v>
      </c>
      <c r="N259" s="210">
        <v>9</v>
      </c>
      <c r="O259" s="210" t="s">
        <v>309</v>
      </c>
      <c r="P259" s="210" t="str">
        <f>IF(Introduction!$E$7=1,CONCATENATE("🍻 ",O259),IF(Introduction!$E$7=2,CONCATENATE("Fêtons ",O259),CONCATENATE("✓ ",O259)))</f>
        <v>🍻 Apollinaire</v>
      </c>
    </row>
    <row r="260" spans="9:16" x14ac:dyDescent="0.2">
      <c r="I260" s="209">
        <v>42784</v>
      </c>
      <c r="J260" s="418" t="str">
        <f>IF(Introduction!$E$7=1,"🌗",IF(Introduction!$E$7=2,"D","☾"))</f>
        <v>🌗</v>
      </c>
      <c r="L260" s="502">
        <f t="shared" si="14"/>
        <v>257</v>
      </c>
      <c r="M260" s="210">
        <v>13</v>
      </c>
      <c r="N260" s="210">
        <v>9</v>
      </c>
      <c r="O260" s="210" t="s">
        <v>310</v>
      </c>
      <c r="P260" s="210" t="str">
        <f>IF(Introduction!$E$7=1,CONCATENATE("🍻 ",O260),IF(Introduction!$E$7=2,CONCATENATE("Fêtons ",O260),CONCATENATE("✓ ",O260)))</f>
        <v>🍻 Aimé</v>
      </c>
    </row>
    <row r="261" spans="9:16" x14ac:dyDescent="0.2">
      <c r="I261" s="209">
        <v>42792</v>
      </c>
      <c r="J261" s="418" t="str">
        <f>IF(Introduction!$E$7=1,"🌑",IF(Introduction!$E$7=2,"N","⚉"))</f>
        <v>🌑</v>
      </c>
      <c r="L261" s="502">
        <f t="shared" ref="L261:L324" si="15">DATE(,N261,M261)</f>
        <v>258</v>
      </c>
      <c r="M261" s="210">
        <v>14</v>
      </c>
      <c r="N261" s="210">
        <v>9</v>
      </c>
      <c r="O261" s="210" t="s">
        <v>311</v>
      </c>
      <c r="P261" s="210" t="str">
        <f>IF(Introduction!$E$7=1,CONCATENATE("🍻 ",O261),IF(Introduction!$E$7=2,CONCATENATE("Fêtons ",O261),CONCATENATE("✓ ",O261)))</f>
        <v>🍻 Croix, Materne</v>
      </c>
    </row>
    <row r="262" spans="9:16" x14ac:dyDescent="0.2">
      <c r="I262" s="209">
        <v>42799</v>
      </c>
      <c r="J262" s="418" t="str">
        <f>IF(Introduction!$E$7=1,"🌓",IF(Introduction!$E$7=2,"P","☽"))</f>
        <v>🌓</v>
      </c>
      <c r="L262" s="502">
        <f t="shared" si="15"/>
        <v>259</v>
      </c>
      <c r="M262" s="210">
        <v>15</v>
      </c>
      <c r="N262" s="210">
        <v>9</v>
      </c>
      <c r="O262" s="210" t="s">
        <v>312</v>
      </c>
      <c r="P262" s="210" t="str">
        <f>IF(Introduction!$E$7=1,CONCATENATE("🍻 ",O262),IF(Introduction!$E$7=2,CONCATENATE("Fêtons ",O262),CONCATENATE("✓ ",O262)))</f>
        <v>🍻 Dolores, Rolland</v>
      </c>
    </row>
    <row r="263" spans="9:16" x14ac:dyDescent="0.2">
      <c r="I263" s="209">
        <v>42806</v>
      </c>
      <c r="J263" s="418" t="str">
        <f>IF(Introduction!$E$7=1,"🌕",IF(Introduction!$E$7=2,"O","⚇"))</f>
        <v>🌕</v>
      </c>
      <c r="L263" s="502">
        <f t="shared" si="15"/>
        <v>260</v>
      </c>
      <c r="M263" s="210">
        <v>16</v>
      </c>
      <c r="N263" s="210">
        <v>9</v>
      </c>
      <c r="O263" s="210" t="s">
        <v>313</v>
      </c>
      <c r="P263" s="210" t="str">
        <f>IF(Introduction!$E$7=1,CONCATENATE("🍻 ",O263),IF(Introduction!$E$7=2,CONCATENATE("Fêtons ",O263),CONCATENATE("✓ ",O263)))</f>
        <v>🍻 Édith</v>
      </c>
    </row>
    <row r="264" spans="9:16" x14ac:dyDescent="0.2">
      <c r="I264" s="209">
        <v>42814</v>
      </c>
      <c r="J264" s="418" t="str">
        <f>IF(Introduction!$E$7=1,"🌗",IF(Introduction!$E$7=2,"D","☾"))</f>
        <v>🌗</v>
      </c>
      <c r="L264" s="502">
        <f t="shared" si="15"/>
        <v>261</v>
      </c>
      <c r="M264" s="210">
        <v>17</v>
      </c>
      <c r="N264" s="210">
        <v>9</v>
      </c>
      <c r="O264" s="210" t="s">
        <v>314</v>
      </c>
      <c r="P264" s="210" t="str">
        <f>IF(Introduction!$E$7=1,CONCATENATE("🍻 ",O264),IF(Introduction!$E$7=2,CONCATENATE("Fêtons ",O264),CONCATENATE("✓ ",O264)))</f>
        <v>🍻 Hildegarde, Lambert, Renaud</v>
      </c>
    </row>
    <row r="265" spans="9:16" x14ac:dyDescent="0.2">
      <c r="I265" s="209">
        <v>42822</v>
      </c>
      <c r="J265" s="418" t="str">
        <f>IF(Introduction!$E$7=1,"🌑",IF(Introduction!$E$7=2,"N","⚉"))</f>
        <v>🌑</v>
      </c>
      <c r="L265" s="502">
        <f t="shared" si="15"/>
        <v>262</v>
      </c>
      <c r="M265" s="210">
        <v>18</v>
      </c>
      <c r="N265" s="210">
        <v>9</v>
      </c>
      <c r="O265" s="210" t="s">
        <v>315</v>
      </c>
      <c r="P265" s="210" t="str">
        <f>IF(Introduction!$E$7=1,CONCATENATE("🍻 ",O265),IF(Introduction!$E$7=2,CONCATENATE("Fêtons ",O265),CONCATENATE("✓ ",O265)))</f>
        <v>🍻 Joseph, Nadège, Véra</v>
      </c>
    </row>
    <row r="266" spans="9:16" x14ac:dyDescent="0.2">
      <c r="I266" s="209">
        <v>42828</v>
      </c>
      <c r="J266" s="418" t="str">
        <f>IF(Introduction!$E$7=1,"🌓",IF(Introduction!$E$7=2,"P","☽"))</f>
        <v>🌓</v>
      </c>
      <c r="L266" s="502">
        <f t="shared" si="15"/>
        <v>263</v>
      </c>
      <c r="M266" s="210">
        <v>19</v>
      </c>
      <c r="N266" s="210">
        <v>9</v>
      </c>
      <c r="O266" s="210" t="s">
        <v>316</v>
      </c>
      <c r="P266" s="210" t="str">
        <f>IF(Introduction!$E$7=1,CONCATENATE("🍻 ",O266),IF(Introduction!$E$7=2,CONCATENATE("Fêtons ",O266),CONCATENATE("✓ ",O266)))</f>
        <v>🍻 Amélie, Émilie, Janvier</v>
      </c>
    </row>
    <row r="267" spans="9:16" x14ac:dyDescent="0.2">
      <c r="I267" s="209">
        <v>42836</v>
      </c>
      <c r="J267" s="418" t="str">
        <f>IF(Introduction!$E$7=1,"🌕",IF(Introduction!$E$7=2,"O","⚇"))</f>
        <v>🌕</v>
      </c>
      <c r="L267" s="502">
        <f t="shared" si="15"/>
        <v>264</v>
      </c>
      <c r="M267" s="210">
        <v>20</v>
      </c>
      <c r="N267" s="210">
        <v>9</v>
      </c>
      <c r="O267" s="210" t="s">
        <v>317</v>
      </c>
      <c r="P267" s="210" t="str">
        <f>IF(Introduction!$E$7=1,CONCATENATE("🍻 ",O267),IF(Introduction!$E$7=2,CONCATENATE("Fêtons ",O267),CONCATENATE("✓ ",O267)))</f>
        <v>🍻 Davy, Eustache</v>
      </c>
    </row>
    <row r="268" spans="9:16" x14ac:dyDescent="0.2">
      <c r="I268" s="209">
        <v>42844</v>
      </c>
      <c r="J268" s="418" t="str">
        <f>IF(Introduction!$E$7=1,"🌗",IF(Introduction!$E$7=2,"D","☾"))</f>
        <v>🌗</v>
      </c>
      <c r="L268" s="502">
        <f t="shared" si="15"/>
        <v>265</v>
      </c>
      <c r="M268" s="210">
        <v>21</v>
      </c>
      <c r="N268" s="210">
        <v>9</v>
      </c>
      <c r="O268" s="210" t="s">
        <v>318</v>
      </c>
      <c r="P268" s="210" t="str">
        <f>IF(Introduction!$E$7=1,CONCATENATE("🍻 ",O268),IF(Introduction!$E$7=2,CONCATENATE("Fêtons ",O268),CONCATENATE("✓ ",O268)))</f>
        <v>🍻 Déborah, Jonas, Matthieu, Mélissa</v>
      </c>
    </row>
    <row r="269" spans="9:16" x14ac:dyDescent="0.2">
      <c r="I269" s="209">
        <v>42851</v>
      </c>
      <c r="J269" s="418" t="str">
        <f>IF(Introduction!$E$7=1,"🌑",IF(Introduction!$E$7=2,"N","⚉"))</f>
        <v>🌑</v>
      </c>
      <c r="L269" s="502">
        <f t="shared" si="15"/>
        <v>266</v>
      </c>
      <c r="M269" s="210">
        <v>22</v>
      </c>
      <c r="N269" s="210">
        <v>9</v>
      </c>
      <c r="O269" s="210" t="s">
        <v>319</v>
      </c>
      <c r="P269" s="210" t="str">
        <f>IF(Introduction!$E$7=1,CONCATENATE("🍻 ",O269),IF(Introduction!$E$7=2,CONCATENATE("Fêtons ",O269),CONCATENATE("✓ ",O269)))</f>
        <v>🍻 Maurice</v>
      </c>
    </row>
    <row r="270" spans="9:16" x14ac:dyDescent="0.2">
      <c r="I270" s="209">
        <v>42858</v>
      </c>
      <c r="J270" s="418" t="str">
        <f>IF(Introduction!$E$7=1,"🌓",IF(Introduction!$E$7=2,"P","☽"))</f>
        <v>🌓</v>
      </c>
      <c r="L270" s="502">
        <f t="shared" si="15"/>
        <v>267</v>
      </c>
      <c r="M270" s="210">
        <v>23</v>
      </c>
      <c r="N270" s="210">
        <v>9</v>
      </c>
      <c r="O270" s="210" t="s">
        <v>320</v>
      </c>
      <c r="P270" s="210" t="str">
        <f>IF(Introduction!$E$7=1,CONCATENATE("🍻 ",O270),IF(Introduction!$E$7=2,CONCATENATE("Fêtons ",O270),CONCATENATE("✓ ",O270)))</f>
        <v>🍻 Constant, Faustine</v>
      </c>
    </row>
    <row r="271" spans="9:16" x14ac:dyDescent="0.2">
      <c r="I271" s="209">
        <v>42865</v>
      </c>
      <c r="J271" s="418" t="str">
        <f>IF(Introduction!$E$7=1,"🌕",IF(Introduction!$E$7=2,"O","⚇"))</f>
        <v>🌕</v>
      </c>
      <c r="L271" s="502">
        <f t="shared" si="15"/>
        <v>268</v>
      </c>
      <c r="M271" s="210">
        <v>24</v>
      </c>
      <c r="N271" s="210">
        <v>9</v>
      </c>
      <c r="O271" s="210" t="s">
        <v>321</v>
      </c>
      <c r="P271" s="210" t="str">
        <f>IF(Introduction!$E$7=1,CONCATENATE("🍻 ",O271),IF(Introduction!$E$7=2,CONCATENATE("Fêtons ",O271),CONCATENATE("✓ ",O271)))</f>
        <v>🍻 Thècle</v>
      </c>
    </row>
    <row r="272" spans="9:16" x14ac:dyDescent="0.2">
      <c r="I272" s="209">
        <v>42874</v>
      </c>
      <c r="J272" s="418" t="str">
        <f>IF(Introduction!$E$7=1,"🌗",IF(Introduction!$E$7=2,"D","☾"))</f>
        <v>🌗</v>
      </c>
      <c r="L272" s="502">
        <f t="shared" si="15"/>
        <v>269</v>
      </c>
      <c r="M272" s="210">
        <v>25</v>
      </c>
      <c r="N272" s="210">
        <v>9</v>
      </c>
      <c r="O272" s="210" t="s">
        <v>322</v>
      </c>
      <c r="P272" s="210" t="str">
        <f>IF(Introduction!$E$7=1,CONCATENATE("🍻 ",O272),IF(Introduction!$E$7=2,CONCATENATE("Fêtons ",O272),CONCATENATE("✓ ",O272)))</f>
        <v>🍻 Hermann</v>
      </c>
    </row>
    <row r="273" spans="9:16" x14ac:dyDescent="0.2">
      <c r="I273" s="209">
        <v>42880</v>
      </c>
      <c r="J273" s="418" t="str">
        <f>IF(Introduction!$E$7=1,"🌑",IF(Introduction!$E$7=2,"N","⚉"))</f>
        <v>🌑</v>
      </c>
      <c r="L273" s="502">
        <f t="shared" si="15"/>
        <v>270</v>
      </c>
      <c r="M273" s="210">
        <v>26</v>
      </c>
      <c r="N273" s="210">
        <v>9</v>
      </c>
      <c r="O273" s="210" t="s">
        <v>323</v>
      </c>
      <c r="P273" s="210" t="str">
        <f>IF(Introduction!$E$7=1,CONCATENATE("🍻 ",O273),IF(Introduction!$E$7=2,CONCATENATE("Fêtons ",O273),CONCATENATE("✓ ",O273)))</f>
        <v>🍻 Côme, Damien</v>
      </c>
    </row>
    <row r="274" spans="9:16" x14ac:dyDescent="0.2">
      <c r="I274" s="209">
        <v>42887</v>
      </c>
      <c r="J274" s="418" t="str">
        <f>IF(Introduction!$E$7=1,"🌓",IF(Introduction!$E$7=2,"P","☽"))</f>
        <v>🌓</v>
      </c>
      <c r="L274" s="502">
        <f t="shared" si="15"/>
        <v>271</v>
      </c>
      <c r="M274" s="210">
        <v>27</v>
      </c>
      <c r="N274" s="210">
        <v>9</v>
      </c>
      <c r="O274" s="210" t="s">
        <v>324</v>
      </c>
      <c r="P274" s="210" t="str">
        <f>IF(Introduction!$E$7=1,CONCATENATE("🍻 ",O274),IF(Introduction!$E$7=2,CONCATENATE("Fêtons ",O274),CONCATENATE("✓ ",O274)))</f>
        <v>🍻 Vincent de Paul</v>
      </c>
    </row>
    <row r="275" spans="9:16" x14ac:dyDescent="0.2">
      <c r="I275" s="209">
        <v>42895</v>
      </c>
      <c r="J275" s="418" t="str">
        <f>IF(Introduction!$E$7=1,"🌕",IF(Introduction!$E$7=2,"O","⚇"))</f>
        <v>🌕</v>
      </c>
      <c r="L275" s="502">
        <f t="shared" si="15"/>
        <v>272</v>
      </c>
      <c r="M275" s="210">
        <v>28</v>
      </c>
      <c r="N275" s="210">
        <v>9</v>
      </c>
      <c r="O275" s="210" t="s">
        <v>325</v>
      </c>
      <c r="P275" s="210" t="str">
        <f>IF(Introduction!$E$7=1,CONCATENATE("🍻 ",O275),IF(Introduction!$E$7=2,CONCATENATE("Fêtons ",O275),CONCATENATE("✓ ",O275)))</f>
        <v>🍻 Venceslas</v>
      </c>
    </row>
    <row r="276" spans="9:16" x14ac:dyDescent="0.2">
      <c r="I276" s="209">
        <v>42903</v>
      </c>
      <c r="J276" s="418" t="str">
        <f>IF(Introduction!$E$7=1,"🌗",IF(Introduction!$E$7=2,"D","☾"))</f>
        <v>🌗</v>
      </c>
      <c r="L276" s="502">
        <f t="shared" si="15"/>
        <v>273</v>
      </c>
      <c r="M276" s="210">
        <v>29</v>
      </c>
      <c r="N276" s="210">
        <v>9</v>
      </c>
      <c r="O276" s="210" t="s">
        <v>326</v>
      </c>
      <c r="P276" s="210" t="str">
        <f>IF(Introduction!$E$7=1,CONCATENATE("🍻 ",O276),IF(Introduction!$E$7=2,CONCATENATE("Fêtons ",O276),CONCATENATE("✓ ",O276)))</f>
        <v>🍻 Gabriel, Michel, Raphaël</v>
      </c>
    </row>
    <row r="277" spans="9:16" x14ac:dyDescent="0.2">
      <c r="I277" s="209">
        <v>42910</v>
      </c>
      <c r="J277" s="418" t="str">
        <f>IF(Introduction!$E$7=1,"🌑",IF(Introduction!$E$7=2,"N","⚉"))</f>
        <v>🌑</v>
      </c>
      <c r="L277" s="502">
        <f t="shared" si="15"/>
        <v>274</v>
      </c>
      <c r="M277" s="210">
        <v>30</v>
      </c>
      <c r="N277" s="210">
        <v>9</v>
      </c>
      <c r="O277" s="210" t="s">
        <v>327</v>
      </c>
      <c r="P277" s="210" t="str">
        <f>IF(Introduction!$E$7=1,CONCATENATE("🍻 ",O277),IF(Introduction!$E$7=2,CONCATENATE("Fêtons ",O277),CONCATENATE("✓ ",O277)))</f>
        <v>🍻 Jérôme</v>
      </c>
    </row>
    <row r="278" spans="9:16" x14ac:dyDescent="0.2">
      <c r="I278" s="209">
        <v>42917</v>
      </c>
      <c r="J278" s="418" t="str">
        <f>IF(Introduction!$E$7=1,"🌓",IF(Introduction!$E$7=2,"P","☽"))</f>
        <v>🌓</v>
      </c>
      <c r="L278" s="502">
        <f t="shared" si="15"/>
        <v>275</v>
      </c>
      <c r="M278" s="210">
        <v>1</v>
      </c>
      <c r="N278" s="210">
        <v>10</v>
      </c>
      <c r="O278" s="210" t="s">
        <v>328</v>
      </c>
      <c r="P278" s="210" t="str">
        <f>IF(Introduction!$E$7=1,CONCATENATE("🍻 ",O278),IF(Introduction!$E$7=2,CONCATENATE("Fêtons ",O278),CONCATENATE("✓ ",O278)))</f>
        <v>🍻 Ariel, Mélodie, Muriel, Thérèse</v>
      </c>
    </row>
    <row r="279" spans="9:16" x14ac:dyDescent="0.2">
      <c r="I279" s="209">
        <v>42925</v>
      </c>
      <c r="J279" s="418" t="str">
        <f>IF(Introduction!$E$7=1,"🌕",IF(Introduction!$E$7=2,"O","⚇"))</f>
        <v>🌕</v>
      </c>
      <c r="L279" s="502">
        <f t="shared" si="15"/>
        <v>276</v>
      </c>
      <c r="M279" s="210">
        <v>2</v>
      </c>
      <c r="N279" s="210">
        <v>10</v>
      </c>
      <c r="O279" s="210" t="s">
        <v>329</v>
      </c>
      <c r="P279" s="210" t="str">
        <f>IF(Introduction!$E$7=1,CONCATENATE("🍻 ",O279),IF(Introduction!$E$7=2,CONCATENATE("Fêtons ",O279),CONCATENATE("✓ ",O279)))</f>
        <v>🍻 Léger,Ruth</v>
      </c>
    </row>
    <row r="280" spans="9:16" x14ac:dyDescent="0.2">
      <c r="I280" s="209">
        <v>42932</v>
      </c>
      <c r="J280" s="418" t="str">
        <f>IF(Introduction!$E$7=1,"🌗",IF(Introduction!$E$7=2,"D","☾"))</f>
        <v>🌗</v>
      </c>
      <c r="L280" s="502">
        <f t="shared" si="15"/>
        <v>277</v>
      </c>
      <c r="M280" s="210">
        <v>3</v>
      </c>
      <c r="N280" s="210">
        <v>10</v>
      </c>
      <c r="O280" s="210" t="s">
        <v>330</v>
      </c>
      <c r="P280" s="210" t="str">
        <f>IF(Introduction!$E$7=1,CONCATENATE("🍻 ",O280),IF(Introduction!$E$7=2,CONCATENATE("Fêtons ",O280),CONCATENATE("✓ ",O280)))</f>
        <v>🍻 Gérard, Sybille</v>
      </c>
    </row>
    <row r="281" spans="9:16" x14ac:dyDescent="0.2">
      <c r="I281" s="209">
        <v>42939</v>
      </c>
      <c r="J281" s="418" t="str">
        <f>IF(Introduction!$E$7=1,"🌑",IF(Introduction!$E$7=2,"N","⚉"))</f>
        <v>🌑</v>
      </c>
      <c r="L281" s="502">
        <f t="shared" si="15"/>
        <v>278</v>
      </c>
      <c r="M281" s="210">
        <v>4</v>
      </c>
      <c r="N281" s="210">
        <v>10</v>
      </c>
      <c r="O281" s="210" t="s">
        <v>331</v>
      </c>
      <c r="P281" s="210" t="str">
        <f>IF(Introduction!$E$7=1,CONCATENATE("🍻 ",O281),IF(Introduction!$E$7=2,CONCATENATE("Fêtons ",O281),CONCATENATE("✓ ",O281)))</f>
        <v>🍻 Aure, Bérénice, François, Frank</v>
      </c>
    </row>
    <row r="282" spans="9:16" x14ac:dyDescent="0.2">
      <c r="I282" s="209">
        <v>42946</v>
      </c>
      <c r="J282" s="418" t="str">
        <f>IF(Introduction!$E$7=1,"🌓",IF(Introduction!$E$7=2,"P","☽"))</f>
        <v>🌓</v>
      </c>
      <c r="L282" s="502">
        <f t="shared" si="15"/>
        <v>279</v>
      </c>
      <c r="M282" s="210">
        <v>5</v>
      </c>
      <c r="N282" s="210">
        <v>10</v>
      </c>
      <c r="O282" s="210" t="s">
        <v>332</v>
      </c>
      <c r="P282" s="210" t="str">
        <f>IF(Introduction!$E$7=1,CONCATENATE("🍻 ",O282),IF(Introduction!$E$7=2,CONCATENATE("Fêtons ",O282),CONCATENATE("✓ ",O282)))</f>
        <v>🍻 Camélia, Capucine, Fleur</v>
      </c>
    </row>
    <row r="283" spans="9:16" x14ac:dyDescent="0.2">
      <c r="I283" s="209">
        <v>42954</v>
      </c>
      <c r="J283" s="418" t="str">
        <f>IF(Introduction!$E$7=1,"🌕",IF(Introduction!$E$7=2,"O","⚇"))</f>
        <v>🌕</v>
      </c>
      <c r="L283" s="502">
        <f t="shared" si="15"/>
        <v>280</v>
      </c>
      <c r="M283" s="210">
        <v>6</v>
      </c>
      <c r="N283" s="210">
        <v>10</v>
      </c>
      <c r="O283" s="210" t="s">
        <v>333</v>
      </c>
      <c r="P283" s="210" t="str">
        <f>IF(Introduction!$E$7=1,CONCATENATE("🍻 ",O283),IF(Introduction!$E$7=2,CONCATENATE("Fêtons ",O283),CONCATENATE("✓ ",O283)))</f>
        <v>🍻 Bruno</v>
      </c>
    </row>
    <row r="284" spans="9:16" x14ac:dyDescent="0.2">
      <c r="I284" s="209">
        <v>42962</v>
      </c>
      <c r="J284" s="418" t="str">
        <f>IF(Introduction!$E$7=1,"🌗",IF(Introduction!$E$7=2,"D","☾"))</f>
        <v>🌗</v>
      </c>
      <c r="L284" s="502">
        <f t="shared" si="15"/>
        <v>281</v>
      </c>
      <c r="M284" s="210">
        <v>7</v>
      </c>
      <c r="N284" s="210">
        <v>10</v>
      </c>
      <c r="O284" s="210" t="s">
        <v>334</v>
      </c>
      <c r="P284" s="210" t="str">
        <f>IF(Introduction!$E$7=1,CONCATENATE("🍻 ",O284),IF(Introduction!$E$7=2,CONCATENATE("Fêtons ",O284),CONCATENATE("✓ ",O284)))</f>
        <v>🍻 Gustave, Serge</v>
      </c>
    </row>
    <row r="285" spans="9:16" x14ac:dyDescent="0.2">
      <c r="I285" s="209">
        <v>42968</v>
      </c>
      <c r="J285" s="418" t="str">
        <f>IF(Introduction!$E$7=1,"🌑",IF(Introduction!$E$7=2,"N","⚉"))</f>
        <v>🌑</v>
      </c>
      <c r="L285" s="502">
        <f t="shared" si="15"/>
        <v>282</v>
      </c>
      <c r="M285" s="210">
        <v>8</v>
      </c>
      <c r="N285" s="210">
        <v>10</v>
      </c>
      <c r="O285" s="210" t="s">
        <v>335</v>
      </c>
      <c r="P285" s="210" t="str">
        <f>IF(Introduction!$E$7=1,CONCATENATE("🍻 ",O285),IF(Introduction!$E$7=2,CONCATENATE("Fêtons ",O285),CONCATENATE("✓ ",O285)))</f>
        <v>🍻 Pélagie, Thaïs</v>
      </c>
    </row>
    <row r="286" spans="9:16" x14ac:dyDescent="0.2">
      <c r="I286" s="209">
        <v>42976</v>
      </c>
      <c r="J286" s="418" t="str">
        <f>IF(Introduction!$E$7=1,"🌓",IF(Introduction!$E$7=2,"P","☽"))</f>
        <v>🌓</v>
      </c>
      <c r="L286" s="502">
        <f t="shared" si="15"/>
        <v>283</v>
      </c>
      <c r="M286" s="210">
        <v>9</v>
      </c>
      <c r="N286" s="210">
        <v>10</v>
      </c>
      <c r="O286" s="210" t="s">
        <v>336</v>
      </c>
      <c r="P286" s="210" t="str">
        <f>IF(Introduction!$E$7=1,CONCATENATE("🍻 ",O286),IF(Introduction!$E$7=2,CONCATENATE("Fêtons ",O286),CONCATENATE("✓ ",O286)))</f>
        <v>🍻 Denis</v>
      </c>
    </row>
    <row r="287" spans="9:16" x14ac:dyDescent="0.2">
      <c r="I287" s="209">
        <v>42984</v>
      </c>
      <c r="J287" s="418" t="str">
        <f>IF(Introduction!$E$7=1,"🌕",IF(Introduction!$E$7=2,"O","⚇"))</f>
        <v>🌕</v>
      </c>
      <c r="L287" s="502">
        <f t="shared" si="15"/>
        <v>284</v>
      </c>
      <c r="M287" s="210">
        <v>10</v>
      </c>
      <c r="N287" s="210">
        <v>10</v>
      </c>
      <c r="O287" s="210" t="s">
        <v>337</v>
      </c>
      <c r="P287" s="210" t="str">
        <f>IF(Introduction!$E$7=1,CONCATENATE("🍻 ",O287),IF(Introduction!$E$7=2,CONCATENATE("Fêtons ",O287),CONCATENATE("✓ ",O287)))</f>
        <v>🍻 Ghislain, Virgile</v>
      </c>
    </row>
    <row r="288" spans="9:16" x14ac:dyDescent="0.2">
      <c r="I288" s="209">
        <v>42991</v>
      </c>
      <c r="J288" s="418" t="str">
        <f>IF(Introduction!$E$7=1,"🌗",IF(Introduction!$E$7=2,"D","☾"))</f>
        <v>🌗</v>
      </c>
      <c r="L288" s="502">
        <f t="shared" si="15"/>
        <v>285</v>
      </c>
      <c r="M288" s="210">
        <v>11</v>
      </c>
      <c r="N288" s="210">
        <v>10</v>
      </c>
      <c r="O288" s="210" t="s">
        <v>338</v>
      </c>
      <c r="P288" s="210" t="str">
        <f>IF(Introduction!$E$7=1,CONCATENATE("🍻 ",O288),IF(Introduction!$E$7=2,CONCATENATE("Fêtons ",O288),CONCATENATE("✓ ",O288)))</f>
        <v>🍻 Firmin</v>
      </c>
    </row>
    <row r="289" spans="9:16" x14ac:dyDescent="0.2">
      <c r="I289" s="209">
        <v>42998</v>
      </c>
      <c r="J289" s="418" t="str">
        <f>IF(Introduction!$E$7=1,"🌑",IF(Introduction!$E$7=2,"N","⚉"))</f>
        <v>🌑</v>
      </c>
      <c r="L289" s="502">
        <f t="shared" si="15"/>
        <v>286</v>
      </c>
      <c r="M289" s="210">
        <v>12</v>
      </c>
      <c r="N289" s="210">
        <v>10</v>
      </c>
      <c r="O289" s="210" t="s">
        <v>339</v>
      </c>
      <c r="P289" s="210" t="str">
        <f>IF(Introduction!$E$7=1,CONCATENATE("🍻 ",O289),IF(Introduction!$E$7=2,CONCATENATE("Fêtons ",O289),CONCATENATE("✓ ",O289)))</f>
        <v>🍻 Alfred, Edwin, Séraphin, Wilfried</v>
      </c>
    </row>
    <row r="290" spans="9:16" x14ac:dyDescent="0.2">
      <c r="I290" s="209">
        <v>43006</v>
      </c>
      <c r="J290" s="418" t="str">
        <f>IF(Introduction!$E$7=1,"🌓",IF(Introduction!$E$7=2,"P","☽"))</f>
        <v>🌓</v>
      </c>
      <c r="L290" s="502">
        <f t="shared" si="15"/>
        <v>287</v>
      </c>
      <c r="M290" s="210">
        <v>13</v>
      </c>
      <c r="N290" s="210">
        <v>10</v>
      </c>
      <c r="O290" s="210" t="s">
        <v>340</v>
      </c>
      <c r="P290" s="210" t="str">
        <f>IF(Introduction!$E$7=1,CONCATENATE("🍻 ",O290),IF(Introduction!$E$7=2,CONCATENATE("Fêtons ",O290),CONCATENATE("✓ ",O290)))</f>
        <v>🍻 Géraud</v>
      </c>
    </row>
    <row r="291" spans="9:16" x14ac:dyDescent="0.2">
      <c r="I291" s="209">
        <v>43013</v>
      </c>
      <c r="J291" s="418" t="str">
        <f>IF(Introduction!$E$7=1,"🌕",IF(Introduction!$E$7=2,"O","⚇"))</f>
        <v>🌕</v>
      </c>
      <c r="L291" s="502">
        <f t="shared" si="15"/>
        <v>288</v>
      </c>
      <c r="M291" s="210">
        <v>14</v>
      </c>
      <c r="N291" s="210">
        <v>10</v>
      </c>
      <c r="O291" s="210" t="s">
        <v>341</v>
      </c>
      <c r="P291" s="210" t="str">
        <f>IF(Introduction!$E$7=1,CONCATENATE("🍻 ",O291),IF(Introduction!$E$7=2,CONCATENATE("Fêtons ",O291),CONCATENATE("✓ ",O291)))</f>
        <v>🍻 Céleste, Gwendoline, Juste</v>
      </c>
    </row>
    <row r="292" spans="9:16" x14ac:dyDescent="0.2">
      <c r="I292" s="209">
        <v>43020</v>
      </c>
      <c r="J292" s="418" t="str">
        <f>IF(Introduction!$E$7=1,"🌗",IF(Introduction!$E$7=2,"D","☾"))</f>
        <v>🌗</v>
      </c>
      <c r="L292" s="502">
        <f t="shared" si="15"/>
        <v>289</v>
      </c>
      <c r="M292" s="210">
        <v>15</v>
      </c>
      <c r="N292" s="210">
        <v>10</v>
      </c>
      <c r="O292" s="210" t="s">
        <v>342</v>
      </c>
      <c r="P292" s="210" t="str">
        <f>IF(Introduction!$E$7=1,CONCATENATE("🍻 ",O292),IF(Introduction!$E$7=2,CONCATENATE("Fêtons ",O292),CONCATENATE("✓ ",O292)))</f>
        <v>🍻 Aurélie, Thérèse</v>
      </c>
    </row>
    <row r="293" spans="9:16" x14ac:dyDescent="0.2">
      <c r="I293" s="209">
        <v>43027</v>
      </c>
      <c r="J293" s="418" t="str">
        <f>IF(Introduction!$E$7=1,"🌑",IF(Introduction!$E$7=2,"N","⚉"))</f>
        <v>🌑</v>
      </c>
      <c r="L293" s="502">
        <f t="shared" si="15"/>
        <v>290</v>
      </c>
      <c r="M293" s="210">
        <v>16</v>
      </c>
      <c r="N293" s="210">
        <v>10</v>
      </c>
      <c r="O293" s="210" t="s">
        <v>343</v>
      </c>
      <c r="P293" s="210" t="str">
        <f>IF(Introduction!$E$7=1,CONCATENATE("🍻 ",O293),IF(Introduction!$E$7=2,CONCATENATE("Fêtons ",O293),CONCATENATE("✓ ",O293)))</f>
        <v>🍻 Edwige, Gall</v>
      </c>
    </row>
    <row r="294" spans="9:16" x14ac:dyDescent="0.2">
      <c r="I294" s="209">
        <v>43035</v>
      </c>
      <c r="J294" s="418" t="str">
        <f>IF(Introduction!$E$7=1,"🌓",IF(Introduction!$E$7=2,"P","☽"))</f>
        <v>🌓</v>
      </c>
      <c r="L294" s="502">
        <f t="shared" si="15"/>
        <v>291</v>
      </c>
      <c r="M294" s="210">
        <v>17</v>
      </c>
      <c r="N294" s="210">
        <v>10</v>
      </c>
      <c r="O294" s="210" t="s">
        <v>344</v>
      </c>
      <c r="P294" s="210" t="str">
        <f>IF(Introduction!$E$7=1,CONCATENATE("🍻 ",O294),IF(Introduction!$E$7=2,CONCATENATE("Fêtons ",O294),CONCATENATE("✓ ",O294)))</f>
        <v>🍻 Baudoin, Solène</v>
      </c>
    </row>
    <row r="295" spans="9:16" x14ac:dyDescent="0.2">
      <c r="I295" s="209">
        <v>43043</v>
      </c>
      <c r="J295" s="418" t="str">
        <f>IF(Introduction!$E$7=1,"🌕",IF(Introduction!$E$7=2,"O","⚇"))</f>
        <v>🌕</v>
      </c>
      <c r="L295" s="502">
        <f t="shared" si="15"/>
        <v>292</v>
      </c>
      <c r="M295" s="210">
        <v>18</v>
      </c>
      <c r="N295" s="210">
        <v>10</v>
      </c>
      <c r="O295" s="210" t="s">
        <v>345</v>
      </c>
      <c r="P295" s="210" t="str">
        <f>IF(Introduction!$E$7=1,CONCATENATE("🍻 ",O295),IF(Introduction!$E$7=2,CONCATENATE("Fêtons ",O295),CONCATENATE("✓ ",O295)))</f>
        <v>🍻 Luc</v>
      </c>
    </row>
    <row r="296" spans="9:16" x14ac:dyDescent="0.2">
      <c r="I296" s="209">
        <v>43049</v>
      </c>
      <c r="J296" s="418" t="str">
        <f>IF(Introduction!$E$7=1,"🌗",IF(Introduction!$E$7=2,"D","☾"))</f>
        <v>🌗</v>
      </c>
      <c r="L296" s="502">
        <f t="shared" si="15"/>
        <v>293</v>
      </c>
      <c r="M296" s="210">
        <v>19</v>
      </c>
      <c r="N296" s="210">
        <v>10</v>
      </c>
      <c r="O296" s="210" t="s">
        <v>346</v>
      </c>
      <c r="P296" s="210" t="str">
        <f>IF(Introduction!$E$7=1,CONCATENATE("🍻 ",O296),IF(Introduction!$E$7=2,CONCATENATE("Fêtons ",O296),CONCATENATE("✓ ",O296)))</f>
        <v>🍻 Cléo, René</v>
      </c>
    </row>
    <row r="297" spans="9:16" x14ac:dyDescent="0.2">
      <c r="I297" s="209">
        <v>43057</v>
      </c>
      <c r="J297" s="418" t="str">
        <f>IF(Introduction!$E$7=1,"🌑",IF(Introduction!$E$7=2,"N","⚉"))</f>
        <v>🌑</v>
      </c>
      <c r="L297" s="502">
        <f t="shared" si="15"/>
        <v>294</v>
      </c>
      <c r="M297" s="210">
        <v>20</v>
      </c>
      <c r="N297" s="210">
        <v>10</v>
      </c>
      <c r="O297" s="210" t="s">
        <v>347</v>
      </c>
      <c r="P297" s="210" t="str">
        <f>IF(Introduction!$E$7=1,CONCATENATE("🍻 ",O297),IF(Introduction!$E$7=2,CONCATENATE("Fêtons ",O297),CONCATENATE("✓ ",O297)))</f>
        <v>🍻 Adeline, Aline</v>
      </c>
    </row>
    <row r="298" spans="9:16" x14ac:dyDescent="0.2">
      <c r="I298" s="209">
        <v>43065</v>
      </c>
      <c r="J298" s="418" t="str">
        <f>IF(Introduction!$E$7=1,"🌓",IF(Introduction!$E$7=2,"P","☽"))</f>
        <v>🌓</v>
      </c>
      <c r="L298" s="502">
        <f t="shared" si="15"/>
        <v>295</v>
      </c>
      <c r="M298" s="210">
        <v>21</v>
      </c>
      <c r="N298" s="210">
        <v>10</v>
      </c>
      <c r="O298" s="210" t="s">
        <v>348</v>
      </c>
      <c r="P298" s="210" t="str">
        <f>IF(Introduction!$E$7=1,CONCATENATE("🍻 ",O298),IF(Introduction!$E$7=2,CONCATENATE("Fêtons ",O298),CONCATENATE("✓ ",O298)))</f>
        <v>🍻 Céline,Ursule</v>
      </c>
    </row>
    <row r="299" spans="9:16" x14ac:dyDescent="0.2">
      <c r="I299" s="209">
        <v>43072</v>
      </c>
      <c r="J299" s="418" t="str">
        <f>IF(Introduction!$E$7=1,"🌕",IF(Introduction!$E$7=2,"O","⚇"))</f>
        <v>🌕</v>
      </c>
      <c r="L299" s="502">
        <f t="shared" si="15"/>
        <v>296</v>
      </c>
      <c r="M299" s="210">
        <v>22</v>
      </c>
      <c r="N299" s="210">
        <v>10</v>
      </c>
      <c r="O299" s="210" t="s">
        <v>349</v>
      </c>
      <c r="P299" s="210" t="str">
        <f>IF(Introduction!$E$7=1,CONCATENATE("🍻 ",O299),IF(Introduction!$E$7=2,CONCATENATE("Fêtons ",O299),CONCATENATE("✓ ",O299)))</f>
        <v>🍻 Élodie, Salomé, Sara</v>
      </c>
    </row>
    <row r="300" spans="9:16" x14ac:dyDescent="0.2">
      <c r="I300" s="209">
        <v>43079</v>
      </c>
      <c r="J300" s="418" t="str">
        <f>IF(Introduction!$E$7=1,"🌗",IF(Introduction!$E$7=2,"D","☾"))</f>
        <v>🌗</v>
      </c>
      <c r="L300" s="502">
        <f t="shared" si="15"/>
        <v>297</v>
      </c>
      <c r="M300" s="210">
        <v>23</v>
      </c>
      <c r="N300" s="210">
        <v>10</v>
      </c>
      <c r="O300" s="210" t="s">
        <v>350</v>
      </c>
      <c r="P300" s="210" t="str">
        <f>IF(Introduction!$E$7=1,CONCATENATE("🍻 ",O300),IF(Introduction!$E$7=2,CONCATENATE("Fêtons ",O300),CONCATENATE("✓ ",O300)))</f>
        <v>🍻 Jean de Capistran, Simon</v>
      </c>
    </row>
    <row r="301" spans="9:16" x14ac:dyDescent="0.2">
      <c r="I301" s="209">
        <v>43087</v>
      </c>
      <c r="J301" s="418" t="str">
        <f>IF(Introduction!$E$7=1,"🌑",IF(Introduction!$E$7=2,"N","⚉"))</f>
        <v>🌑</v>
      </c>
      <c r="L301" s="502">
        <f t="shared" si="15"/>
        <v>298</v>
      </c>
      <c r="M301" s="210">
        <v>24</v>
      </c>
      <c r="N301" s="210">
        <v>10</v>
      </c>
      <c r="O301" s="210" t="s">
        <v>351</v>
      </c>
      <c r="P301" s="210" t="str">
        <f>IF(Introduction!$E$7=1,CONCATENATE("🍻 ",O301),IF(Introduction!$E$7=2,CONCATENATE("Fêtons ",O301),CONCATENATE("✓ ",O301)))</f>
        <v>🍻 Florentin</v>
      </c>
    </row>
    <row r="302" spans="9:16" x14ac:dyDescent="0.2">
      <c r="I302" s="209">
        <v>43095</v>
      </c>
      <c r="J302" s="418" t="str">
        <f>IF(Introduction!$E$7=1,"🌓",IF(Introduction!$E$7=2,"P","☽"))</f>
        <v>🌓</v>
      </c>
      <c r="L302" s="502">
        <f t="shared" si="15"/>
        <v>299</v>
      </c>
      <c r="M302" s="210">
        <v>25</v>
      </c>
      <c r="N302" s="210">
        <v>10</v>
      </c>
      <c r="O302" s="210" t="s">
        <v>352</v>
      </c>
      <c r="P302" s="210" t="str">
        <f>IF(Introduction!$E$7=1,CONCATENATE("🍻 ",O302),IF(Introduction!$E$7=2,CONCATENATE("Fêtons ",O302),CONCATENATE("✓ ",O302)))</f>
        <v>🍻 Crépin, Doria</v>
      </c>
    </row>
    <row r="303" spans="9:16" x14ac:dyDescent="0.2">
      <c r="I303" s="209">
        <v>43102</v>
      </c>
      <c r="J303" s="418" t="str">
        <f>IF(Introduction!$E$7=1,"🌕",IF(Introduction!$E$7=2,"O","⚇"))</f>
        <v>🌕</v>
      </c>
      <c r="L303" s="502">
        <f t="shared" si="15"/>
        <v>300</v>
      </c>
      <c r="M303" s="210">
        <v>26</v>
      </c>
      <c r="N303" s="210">
        <v>10</v>
      </c>
      <c r="O303" s="210" t="s">
        <v>353</v>
      </c>
      <c r="P303" s="210" t="str">
        <f>IF(Introduction!$E$7=1,CONCATENATE("🍻 ",O303),IF(Introduction!$E$7=2,CONCATENATE("Fêtons ",O303),CONCATENATE("✓ ",O303)))</f>
        <v>🍻 Amand, Dimitri</v>
      </c>
    </row>
    <row r="304" spans="9:16" x14ac:dyDescent="0.2">
      <c r="I304" s="209">
        <v>43108</v>
      </c>
      <c r="J304" s="418" t="str">
        <f>IF(Introduction!$E$7=1,"🌗",IF(Introduction!$E$7=2,"D","☾"))</f>
        <v>🌗</v>
      </c>
      <c r="L304" s="502">
        <f t="shared" si="15"/>
        <v>301</v>
      </c>
      <c r="M304" s="210">
        <v>27</v>
      </c>
      <c r="N304" s="210">
        <v>10</v>
      </c>
      <c r="O304" s="210" t="s">
        <v>354</v>
      </c>
      <c r="P304" s="210" t="str">
        <f>IF(Introduction!$E$7=1,CONCATENATE("🍻 ",O304),IF(Introduction!$E$7=2,CONCATENATE("Fêtons ",O304),CONCATENATE("✓ ",O304)))</f>
        <v>🍻 Émeline</v>
      </c>
    </row>
    <row r="305" spans="9:16" x14ac:dyDescent="0.2">
      <c r="I305" s="209">
        <v>43117</v>
      </c>
      <c r="J305" s="418" t="str">
        <f>IF(Introduction!$E$7=1,"🌑",IF(Introduction!$E$7=2,"N","⚉"))</f>
        <v>🌑</v>
      </c>
      <c r="L305" s="502">
        <f t="shared" si="15"/>
        <v>302</v>
      </c>
      <c r="M305" s="210">
        <v>28</v>
      </c>
      <c r="N305" s="210">
        <v>10</v>
      </c>
      <c r="O305" s="210" t="s">
        <v>355</v>
      </c>
      <c r="P305" s="210" t="str">
        <f>IF(Introduction!$E$7=1,CONCATENATE("🍻 ",O305),IF(Introduction!$E$7=2,CONCATENATE("Fêtons ",O305),CONCATENATE("✓ ",O305)))</f>
        <v>🍻 Simon, Jude</v>
      </c>
    </row>
    <row r="306" spans="9:16" x14ac:dyDescent="0.2">
      <c r="I306" s="209">
        <v>43124</v>
      </c>
      <c r="J306" s="418" t="str">
        <f>IF(Introduction!$E$7=1,"🌓",IF(Introduction!$E$7=2,"P","☽"))</f>
        <v>🌓</v>
      </c>
      <c r="L306" s="502">
        <f t="shared" si="15"/>
        <v>303</v>
      </c>
      <c r="M306" s="210">
        <v>29</v>
      </c>
      <c r="N306" s="210">
        <v>10</v>
      </c>
      <c r="O306" s="210" t="s">
        <v>356</v>
      </c>
      <c r="P306" s="210" t="str">
        <f>IF(Introduction!$E$7=1,CONCATENATE("🍻 ",O306),IF(Introduction!$E$7=2,CONCATENATE("Fêtons ",O306),CONCATENATE("✓ ",O306)))</f>
        <v>🍻 Narcisse</v>
      </c>
    </row>
    <row r="307" spans="9:16" x14ac:dyDescent="0.2">
      <c r="I307" s="209">
        <v>43131</v>
      </c>
      <c r="J307" s="418" t="str">
        <f>IF(Introduction!$E$7=1,"🌕",IF(Introduction!$E$7=2,"O","⚇"))</f>
        <v>🌕</v>
      </c>
      <c r="L307" s="502">
        <f t="shared" si="15"/>
        <v>304</v>
      </c>
      <c r="M307" s="210">
        <v>30</v>
      </c>
      <c r="N307" s="210">
        <v>10</v>
      </c>
      <c r="O307" s="210" t="s">
        <v>357</v>
      </c>
      <c r="P307" s="210" t="str">
        <f>IF(Introduction!$E$7=1,CONCATENATE("🍻 ",O307),IF(Introduction!$E$7=2,CONCATENATE("Fêtons ",O307),CONCATENATE("✓ ",O307)))</f>
        <v>🍻 Bienvenu, Maéva</v>
      </c>
    </row>
    <row r="308" spans="9:16" x14ac:dyDescent="0.2">
      <c r="I308" s="209">
        <v>43138</v>
      </c>
      <c r="J308" s="418" t="str">
        <f>IF(Introduction!$E$7=1,"🌗",IF(Introduction!$E$7=2,"D","☾"))</f>
        <v>🌗</v>
      </c>
      <c r="L308" s="502">
        <f t="shared" si="15"/>
        <v>305</v>
      </c>
      <c r="M308" s="210">
        <v>31</v>
      </c>
      <c r="N308" s="210">
        <v>10</v>
      </c>
      <c r="O308" s="210" t="s">
        <v>358</v>
      </c>
      <c r="P308" s="210" t="str">
        <f>IF(Introduction!$E$7=1,CONCATENATE("🍻 ",O308),IF(Introduction!$E$7=2,CONCATENATE("Fêtons ",O308),CONCATENATE("✓ ",O308)))</f>
        <v>🍻 Quentin, Wolfgang</v>
      </c>
    </row>
    <row r="309" spans="9:16" x14ac:dyDescent="0.2">
      <c r="I309" s="209">
        <v>43146</v>
      </c>
      <c r="J309" s="418" t="str">
        <f>IF(Introduction!$E$7=1,"🌑",IF(Introduction!$E$7=2,"N","⚉"))</f>
        <v>🌑</v>
      </c>
      <c r="L309" s="502">
        <f t="shared" si="15"/>
        <v>306</v>
      </c>
      <c r="M309" s="210">
        <v>1</v>
      </c>
      <c r="N309" s="210">
        <v>11</v>
      </c>
      <c r="O309" s="210" t="s">
        <v>3</v>
      </c>
      <c r="P309" s="210" t="str">
        <f>IF(Introduction!$E$7=1,CONCATENATE("🍻 ",O309),IF(Introduction!$E$7=2,CONCATENATE("Fêtons ",O309),CONCATENATE("✓ ",O309)))</f>
        <v>🍻 Toussaint</v>
      </c>
    </row>
    <row r="310" spans="9:16" x14ac:dyDescent="0.2">
      <c r="I310" s="209">
        <v>43154</v>
      </c>
      <c r="J310" s="418" t="str">
        <f>IF(Introduction!$E$7=1,"🌓",IF(Introduction!$E$7=2,"P","☽"))</f>
        <v>🌓</v>
      </c>
      <c r="L310" s="502">
        <f t="shared" si="15"/>
        <v>307</v>
      </c>
      <c r="M310" s="210">
        <v>2</v>
      </c>
      <c r="N310" s="210">
        <v>11</v>
      </c>
      <c r="O310" s="210" t="s">
        <v>359</v>
      </c>
      <c r="P310" s="210" t="str">
        <f>IF(Introduction!$E$7=1,CONCATENATE("🍻 ",O310),IF(Introduction!$E$7=2,CONCATENATE("Fêtons ",O310),CONCATENATE("✓ ",O310)))</f>
        <v>🍻 Malachie</v>
      </c>
    </row>
    <row r="311" spans="9:16" x14ac:dyDescent="0.2">
      <c r="I311" s="209">
        <v>43161</v>
      </c>
      <c r="J311" s="418" t="str">
        <f>IF(Introduction!$E$7=1,"🌕",IF(Introduction!$E$7=2,"O","⚇"))</f>
        <v>🌕</v>
      </c>
      <c r="L311" s="502">
        <f t="shared" si="15"/>
        <v>308</v>
      </c>
      <c r="M311" s="210">
        <v>3</v>
      </c>
      <c r="N311" s="210">
        <v>11</v>
      </c>
      <c r="O311" s="210" t="s">
        <v>360</v>
      </c>
      <c r="P311" s="210" t="str">
        <f>IF(Introduction!$E$7=1,CONCATENATE("🍻 ",O311),IF(Introduction!$E$7=2,CONCATENATE("Fêtons ",O311),CONCATENATE("✓ ",O311)))</f>
        <v>🍻 Gwénaël, Hubert</v>
      </c>
    </row>
    <row r="312" spans="9:16" x14ac:dyDescent="0.2">
      <c r="I312" s="209">
        <v>43168</v>
      </c>
      <c r="J312" s="418" t="str">
        <f>IF(Introduction!$E$7=1,"🌗",IF(Introduction!$E$7=2,"D","☾"))</f>
        <v>🌗</v>
      </c>
      <c r="L312" s="502">
        <f t="shared" si="15"/>
        <v>309</v>
      </c>
      <c r="M312" s="210">
        <v>4</v>
      </c>
      <c r="N312" s="210">
        <v>11</v>
      </c>
      <c r="O312" s="210" t="s">
        <v>361</v>
      </c>
      <c r="P312" s="210" t="str">
        <f>IF(Introduction!$E$7=1,CONCATENATE("🍻 ",O312),IF(Introduction!$E$7=2,CONCATENATE("Fêtons ",O312),CONCATENATE("✓ ",O312)))</f>
        <v>🍻 Aymeric, Charles, Jessé</v>
      </c>
    </row>
    <row r="313" spans="9:16" x14ac:dyDescent="0.2">
      <c r="I313" s="209">
        <v>43176</v>
      </c>
      <c r="J313" s="418" t="str">
        <f>IF(Introduction!$E$7=1,"🌑",IF(Introduction!$E$7=2,"N","⚉"))</f>
        <v>🌑</v>
      </c>
      <c r="L313" s="502">
        <f t="shared" si="15"/>
        <v>310</v>
      </c>
      <c r="M313" s="210">
        <v>5</v>
      </c>
      <c r="N313" s="210">
        <v>11</v>
      </c>
      <c r="O313" s="210" t="s">
        <v>362</v>
      </c>
      <c r="P313" s="210" t="str">
        <f>IF(Introduction!$E$7=1,CONCATENATE("🍻 ",O313),IF(Introduction!$E$7=2,CONCATENATE("Fêtons ",O313),CONCATENATE("✓ ",O313)))</f>
        <v>🍻 Sylviane, Sylvie, Zacharie</v>
      </c>
    </row>
    <row r="314" spans="9:16" x14ac:dyDescent="0.2">
      <c r="I314" s="209">
        <v>43183</v>
      </c>
      <c r="J314" s="418" t="str">
        <f>IF(Introduction!$E$7=1,"🌓",IF(Introduction!$E$7=2,"P","☽"))</f>
        <v>🌓</v>
      </c>
      <c r="L314" s="502">
        <f t="shared" si="15"/>
        <v>311</v>
      </c>
      <c r="M314" s="210">
        <v>6</v>
      </c>
      <c r="N314" s="210">
        <v>11</v>
      </c>
      <c r="O314" s="210" t="s">
        <v>363</v>
      </c>
      <c r="P314" s="210" t="str">
        <f>IF(Introduction!$E$7=1,CONCATENATE("🍻 ",O314),IF(Introduction!$E$7=2,CONCATENATE("Fêtons ",O314),CONCATENATE("✓ ",O314)))</f>
        <v>🍻 Bertille, Léonard</v>
      </c>
    </row>
    <row r="315" spans="9:16" x14ac:dyDescent="0.2">
      <c r="I315" s="209">
        <v>43190</v>
      </c>
      <c r="J315" s="418" t="str">
        <f>IF(Introduction!$E$7=1,"🌕",IF(Introduction!$E$7=2,"O","⚇"))</f>
        <v>🌕</v>
      </c>
      <c r="L315" s="502">
        <f t="shared" si="15"/>
        <v>312</v>
      </c>
      <c r="M315" s="210">
        <v>7</v>
      </c>
      <c r="N315" s="210">
        <v>11</v>
      </c>
      <c r="O315" s="210" t="s">
        <v>364</v>
      </c>
      <c r="P315" s="210" t="str">
        <f>IF(Introduction!$E$7=1,CONCATENATE("🍻 ",O315),IF(Introduction!$E$7=2,CONCATENATE("Fêtons ",O315),CONCATENATE("✓ ",O315)))</f>
        <v>🍻 Carine, Ernest</v>
      </c>
    </row>
    <row r="316" spans="9:16" x14ac:dyDescent="0.2">
      <c r="I316" s="209">
        <v>43198</v>
      </c>
      <c r="J316" s="418" t="str">
        <f>IF(Introduction!$E$7=1,"🌗",IF(Introduction!$E$7=2,"D","☾"))</f>
        <v>🌗</v>
      </c>
      <c r="L316" s="502">
        <f t="shared" si="15"/>
        <v>313</v>
      </c>
      <c r="M316" s="210">
        <v>8</v>
      </c>
      <c r="N316" s="210">
        <v>11</v>
      </c>
      <c r="O316" s="210" t="s">
        <v>365</v>
      </c>
      <c r="P316" s="210" t="str">
        <f>IF(Introduction!$E$7=1,CONCATENATE("🍻 ",O316),IF(Introduction!$E$7=2,CONCATENATE("Fêtons ",O316),CONCATENATE("✓ ",O316)))</f>
        <v>🍻 Dora, Geoffroy</v>
      </c>
    </row>
    <row r="317" spans="9:16" x14ac:dyDescent="0.2">
      <c r="I317" s="209">
        <v>43206</v>
      </c>
      <c r="J317" s="418" t="str">
        <f>IF(Introduction!$E$7=1,"🌑",IF(Introduction!$E$7=2,"N","⚉"))</f>
        <v>🌑</v>
      </c>
      <c r="L317" s="502">
        <f t="shared" si="15"/>
        <v>314</v>
      </c>
      <c r="M317" s="210">
        <v>9</v>
      </c>
      <c r="N317" s="210">
        <v>11</v>
      </c>
      <c r="O317" s="210" t="s">
        <v>366</v>
      </c>
      <c r="P317" s="210" t="str">
        <f>IF(Introduction!$E$7=1,CONCATENATE("🍻 ",O317),IF(Introduction!$E$7=2,CONCATENATE("Fêtons ",O317),CONCATENATE("✓ ",O317)))</f>
        <v>🍻 Mathurin, Théodore</v>
      </c>
    </row>
    <row r="318" spans="9:16" x14ac:dyDescent="0.2">
      <c r="I318" s="209">
        <v>43212</v>
      </c>
      <c r="J318" s="418" t="str">
        <f>IF(Introduction!$E$7=1,"🌓",IF(Introduction!$E$7=2,"P","☽"))</f>
        <v>🌓</v>
      </c>
      <c r="L318" s="502">
        <f t="shared" si="15"/>
        <v>315</v>
      </c>
      <c r="M318" s="210">
        <v>10</v>
      </c>
      <c r="N318" s="210">
        <v>11</v>
      </c>
      <c r="O318" s="210" t="s">
        <v>367</v>
      </c>
      <c r="P318" s="210" t="str">
        <f>IF(Introduction!$E$7=1,CONCATENATE("🍻 ",O318),IF(Introduction!$E$7=2,CONCATENATE("Fêtons ",O318),CONCATENATE("✓ ",O318)))</f>
        <v>🍻 Léon, Noé</v>
      </c>
    </row>
    <row r="319" spans="9:16" x14ac:dyDescent="0.2">
      <c r="I319" s="209">
        <v>43220</v>
      </c>
      <c r="J319" s="418" t="str">
        <f>IF(Introduction!$E$7=1,"🌕",IF(Introduction!$E$7=2,"O","⚇"))</f>
        <v>🌕</v>
      </c>
      <c r="L319" s="502">
        <f t="shared" si="15"/>
        <v>316</v>
      </c>
      <c r="M319" s="210">
        <v>11</v>
      </c>
      <c r="N319" s="210">
        <v>11</v>
      </c>
      <c r="O319" s="210" t="s">
        <v>368</v>
      </c>
      <c r="P319" s="210" t="str">
        <f>IF(Introduction!$E$7=1,CONCATENATE("🍻 ",O319),IF(Introduction!$E$7=2,CONCATENATE("Fêtons ",O319),CONCATENATE("✓ ",O319)))</f>
        <v>🍻 Martin, Vérane</v>
      </c>
    </row>
    <row r="320" spans="9:16" x14ac:dyDescent="0.2">
      <c r="I320" s="209">
        <v>43228</v>
      </c>
      <c r="J320" s="418" t="str">
        <f>IF(Introduction!$E$7=1,"🌗",IF(Introduction!$E$7=2,"D","☾"))</f>
        <v>🌗</v>
      </c>
      <c r="L320" s="502">
        <f t="shared" si="15"/>
        <v>317</v>
      </c>
      <c r="M320" s="210">
        <v>12</v>
      </c>
      <c r="N320" s="210">
        <v>11</v>
      </c>
      <c r="O320" s="210" t="s">
        <v>369</v>
      </c>
      <c r="P320" s="210" t="str">
        <f>IF(Introduction!$E$7=1,CONCATENATE("🍻 ",O320),IF(Introduction!$E$7=2,CONCATENATE("Fêtons ",O320),CONCATENATE("✓ ",O320)))</f>
        <v>🍻 Christian</v>
      </c>
    </row>
    <row r="321" spans="9:16" x14ac:dyDescent="0.2">
      <c r="I321" s="209">
        <v>43235</v>
      </c>
      <c r="J321" s="418" t="str">
        <f>IF(Introduction!$E$7=1,"🌑",IF(Introduction!$E$7=2,"N","⚉"))</f>
        <v>🌑</v>
      </c>
      <c r="L321" s="502">
        <f t="shared" si="15"/>
        <v>318</v>
      </c>
      <c r="M321" s="210">
        <v>13</v>
      </c>
      <c r="N321" s="210">
        <v>11</v>
      </c>
      <c r="O321" s="210" t="s">
        <v>370</v>
      </c>
      <c r="P321" s="210" t="str">
        <f>IF(Introduction!$E$7=1,CONCATENATE("🍻 ",O321),IF(Introduction!$E$7=2,CONCATENATE("Fêtons ",O321),CONCATENATE("✓ ",O321)))</f>
        <v>🍻 Brice</v>
      </c>
    </row>
    <row r="322" spans="9:16" x14ac:dyDescent="0.2">
      <c r="I322" s="209">
        <v>43242</v>
      </c>
      <c r="J322" s="418" t="str">
        <f>IF(Introduction!$E$7=1,"🌓",IF(Introduction!$E$7=2,"P","☽"))</f>
        <v>🌓</v>
      </c>
      <c r="L322" s="502">
        <f t="shared" si="15"/>
        <v>319</v>
      </c>
      <c r="M322" s="210">
        <v>14</v>
      </c>
      <c r="N322" s="210">
        <v>11</v>
      </c>
      <c r="O322" s="210" t="s">
        <v>371</v>
      </c>
      <c r="P322" s="210" t="str">
        <f>IF(Introduction!$E$7=1,CONCATENATE("🍻 ",O322),IF(Introduction!$E$7=2,CONCATENATE("Fêtons ",O322),CONCATENATE("✓ ",O322)))</f>
        <v>🍻 Sidoine</v>
      </c>
    </row>
    <row r="323" spans="9:16" x14ac:dyDescent="0.2">
      <c r="I323" s="209">
        <v>43249</v>
      </c>
      <c r="J323" s="418" t="str">
        <f>IF(Introduction!$E$7=1,"🌕",IF(Introduction!$E$7=2,"O","⚇"))</f>
        <v>🌕</v>
      </c>
      <c r="L323" s="502">
        <f t="shared" si="15"/>
        <v>320</v>
      </c>
      <c r="M323" s="210">
        <v>15</v>
      </c>
      <c r="N323" s="210">
        <v>11</v>
      </c>
      <c r="O323" s="210" t="s">
        <v>372</v>
      </c>
      <c r="P323" s="210" t="str">
        <f>IF(Introduction!$E$7=1,CONCATENATE("🍻 ",O323),IF(Introduction!$E$7=2,CONCATENATE("Fêtons ",O323),CONCATENATE("✓ ",O323)))</f>
        <v>🍻 Albert, Arthur, Léopold</v>
      </c>
    </row>
    <row r="324" spans="9:16" x14ac:dyDescent="0.2">
      <c r="I324" s="209">
        <v>43257</v>
      </c>
      <c r="J324" s="418" t="str">
        <f>IF(Introduction!$E$7=1,"🌗",IF(Introduction!$E$7=2,"D","☾"))</f>
        <v>🌗</v>
      </c>
      <c r="L324" s="502">
        <f t="shared" si="15"/>
        <v>321</v>
      </c>
      <c r="M324" s="210">
        <v>16</v>
      </c>
      <c r="N324" s="210">
        <v>11</v>
      </c>
      <c r="O324" s="210" t="s">
        <v>373</v>
      </c>
      <c r="P324" s="210" t="str">
        <f>IF(Introduction!$E$7=1,CONCATENATE("🍻 ",O324),IF(Introduction!$E$7=2,CONCATENATE("Fêtons ",O324),CONCATENATE("✓ ",O324)))</f>
        <v>🍻 Gertrude, Marguerite, Mégane</v>
      </c>
    </row>
    <row r="325" spans="9:16" x14ac:dyDescent="0.2">
      <c r="I325" s="209">
        <v>43264</v>
      </c>
      <c r="J325" s="418" t="str">
        <f>IF(Introduction!$E$7=1,"🌑",IF(Introduction!$E$7=2,"N","⚉"))</f>
        <v>🌑</v>
      </c>
      <c r="L325" s="502">
        <f t="shared" ref="L325:L369" si="16">DATE(,N325,M325)</f>
        <v>322</v>
      </c>
      <c r="M325" s="210">
        <v>17</v>
      </c>
      <c r="N325" s="210">
        <v>11</v>
      </c>
      <c r="O325" s="210" t="s">
        <v>374</v>
      </c>
      <c r="P325" s="210" t="str">
        <f>IF(Introduction!$E$7=1,CONCATENATE("🍻 ",O325),IF(Introduction!$E$7=2,CONCATENATE("Fêtons ",O325),CONCATENATE("✓ ",O325)))</f>
        <v>🍻 Élisabeth, Elise, Hilda</v>
      </c>
    </row>
    <row r="326" spans="9:16" x14ac:dyDescent="0.2">
      <c r="I326" s="209">
        <v>43271</v>
      </c>
      <c r="J326" s="418" t="str">
        <f>IF(Introduction!$E$7=1,"🌓",IF(Introduction!$E$7=2,"P","☽"))</f>
        <v>🌓</v>
      </c>
      <c r="L326" s="502">
        <f t="shared" si="16"/>
        <v>323</v>
      </c>
      <c r="M326" s="210">
        <v>18</v>
      </c>
      <c r="N326" s="210">
        <v>11</v>
      </c>
      <c r="O326" s="210" t="s">
        <v>375</v>
      </c>
      <c r="P326" s="210" t="str">
        <f>IF(Introduction!$E$7=1,CONCATENATE("🍻 ",O326),IF(Introduction!$E$7=2,CONCATENATE("Fêtons ",O326),CONCATENATE("✓ ",O326)))</f>
        <v>🍻 Aude</v>
      </c>
    </row>
    <row r="327" spans="9:16" x14ac:dyDescent="0.2">
      <c r="I327" s="209">
        <v>43279</v>
      </c>
      <c r="J327" s="418" t="str">
        <f>IF(Introduction!$E$7=1,"🌕",IF(Introduction!$E$7=2,"O","⚇"))</f>
        <v>🌕</v>
      </c>
      <c r="L327" s="502">
        <f t="shared" si="16"/>
        <v>324</v>
      </c>
      <c r="M327" s="210">
        <v>19</v>
      </c>
      <c r="N327" s="210">
        <v>11</v>
      </c>
      <c r="O327" s="210" t="s">
        <v>376</v>
      </c>
      <c r="P327" s="210" t="str">
        <f>IF(Introduction!$E$7=1,CONCATENATE("🍻 ",O327),IF(Introduction!$E$7=2,CONCATENATE("Fêtons ",O327),CONCATENATE("✓ ",O327)))</f>
        <v>🍻 Tanguy</v>
      </c>
    </row>
    <row r="328" spans="9:16" x14ac:dyDescent="0.2">
      <c r="I328" s="209">
        <v>43287</v>
      </c>
      <c r="J328" s="418" t="str">
        <f>IF(Introduction!$E$7=1,"🌗",IF(Introduction!$E$7=2,"D","☾"))</f>
        <v>🌗</v>
      </c>
      <c r="L328" s="502">
        <f t="shared" si="16"/>
        <v>325</v>
      </c>
      <c r="M328" s="210">
        <v>20</v>
      </c>
      <c r="N328" s="210">
        <v>11</v>
      </c>
      <c r="O328" s="210" t="s">
        <v>377</v>
      </c>
      <c r="P328" s="210" t="str">
        <f>IF(Introduction!$E$7=1,CONCATENATE("🍻 ",O328),IF(Introduction!$E$7=2,CONCATENATE("Fêtons ",O328),CONCATENATE("✓ ",O328)))</f>
        <v>🍻 Edmond, Octave</v>
      </c>
    </row>
    <row r="329" spans="9:16" x14ac:dyDescent="0.2">
      <c r="I329" s="209">
        <v>43294</v>
      </c>
      <c r="J329" s="418" t="str">
        <f>IF(Introduction!$E$7=1,"🌑",IF(Introduction!$E$7=2,"N","⚉"))</f>
        <v>🌑</v>
      </c>
      <c r="L329" s="502">
        <f t="shared" si="16"/>
        <v>326</v>
      </c>
      <c r="M329" s="210">
        <v>21</v>
      </c>
      <c r="N329" s="210">
        <v>11</v>
      </c>
      <c r="O329" s="210" t="s">
        <v>378</v>
      </c>
      <c r="P329" s="210" t="str">
        <f>IF(Introduction!$E$7=1,CONCATENATE("🍻 ",O329),IF(Introduction!$E$7=2,CONCATENATE("Fêtons ",O329),CONCATENATE("✓ ",O329)))</f>
        <v>🍻 Dimitri</v>
      </c>
    </row>
    <row r="330" spans="9:16" x14ac:dyDescent="0.2">
      <c r="I330" s="209">
        <v>43300</v>
      </c>
      <c r="J330" s="418" t="str">
        <f>IF(Introduction!$E$7=1,"🌓",IF(Introduction!$E$7=2,"P","☽"))</f>
        <v>🌓</v>
      </c>
      <c r="L330" s="502">
        <f t="shared" si="16"/>
        <v>327</v>
      </c>
      <c r="M330" s="210">
        <v>22</v>
      </c>
      <c r="N330" s="210">
        <v>11</v>
      </c>
      <c r="O330" s="210" t="s">
        <v>379</v>
      </c>
      <c r="P330" s="210" t="str">
        <f>IF(Introduction!$E$7=1,CONCATENATE("🍻 ",O330),IF(Introduction!$E$7=2,CONCATENATE("Fêtons ",O330),CONCATENATE("✓ ",O330)))</f>
        <v>🍻 Cécile</v>
      </c>
    </row>
    <row r="331" spans="9:16" x14ac:dyDescent="0.2">
      <c r="I331" s="209">
        <v>43308</v>
      </c>
      <c r="J331" s="418" t="str">
        <f>IF(Introduction!$E$7=1,"🌕",IF(Introduction!$E$7=2,"O","⚇"))</f>
        <v>🌕</v>
      </c>
      <c r="L331" s="502">
        <f t="shared" si="16"/>
        <v>328</v>
      </c>
      <c r="M331" s="210">
        <v>23</v>
      </c>
      <c r="N331" s="210">
        <v>11</v>
      </c>
      <c r="O331" s="210" t="s">
        <v>380</v>
      </c>
      <c r="P331" s="210" t="str">
        <f>IF(Introduction!$E$7=1,CONCATENATE("🍻 ",O331),IF(Introduction!$E$7=2,CONCATENATE("Fêtons ",O331),CONCATENATE("✓ ",O331)))</f>
        <v>🍻 Clément</v>
      </c>
    </row>
    <row r="332" spans="9:16" x14ac:dyDescent="0.2">
      <c r="I332" s="209">
        <v>43316</v>
      </c>
      <c r="J332" s="418" t="str">
        <f>IF(Introduction!$E$7=1,"🌗",IF(Introduction!$E$7=2,"D","☾"))</f>
        <v>🌗</v>
      </c>
      <c r="L332" s="502">
        <f t="shared" si="16"/>
        <v>329</v>
      </c>
      <c r="M332" s="210">
        <v>24</v>
      </c>
      <c r="N332" s="210">
        <v>11</v>
      </c>
      <c r="O332" s="210" t="s">
        <v>381</v>
      </c>
      <c r="P332" s="210" t="str">
        <f>IF(Introduction!$E$7=1,CONCATENATE("🍻 ",O332),IF(Introduction!$E$7=2,CONCATENATE("Fêtons ",O332),CONCATENATE("✓ ",O332)))</f>
        <v>🍻 Flora</v>
      </c>
    </row>
    <row r="333" spans="9:16" x14ac:dyDescent="0.2">
      <c r="I333" s="209">
        <v>43323</v>
      </c>
      <c r="J333" s="418" t="str">
        <f>IF(Introduction!$E$7=1,"🌑",IF(Introduction!$E$7=2,"N","⚉"))</f>
        <v>🌑</v>
      </c>
      <c r="L333" s="502">
        <f t="shared" si="16"/>
        <v>330</v>
      </c>
      <c r="M333" s="210">
        <v>25</v>
      </c>
      <c r="N333" s="210">
        <v>11</v>
      </c>
      <c r="O333" s="210" t="s">
        <v>174</v>
      </c>
      <c r="P333" s="210" t="str">
        <f>IF(Introduction!$E$7=1,CONCATENATE("🍻 ",O333),IF(Introduction!$E$7=2,CONCATENATE("Fêtons ",O333),CONCATENATE("✓ ",O333)))</f>
        <v>🍻 Catherine</v>
      </c>
    </row>
    <row r="334" spans="9:16" x14ac:dyDescent="0.2">
      <c r="I334" s="209">
        <v>43330</v>
      </c>
      <c r="J334" s="418" t="str">
        <f>IF(Introduction!$E$7=1,"🌓",IF(Introduction!$E$7=2,"P","☽"))</f>
        <v>🌓</v>
      </c>
      <c r="L334" s="502">
        <f t="shared" si="16"/>
        <v>331</v>
      </c>
      <c r="M334" s="210">
        <v>26</v>
      </c>
      <c r="N334" s="210">
        <v>11</v>
      </c>
      <c r="O334" s="210" t="s">
        <v>382</v>
      </c>
      <c r="P334" s="210" t="str">
        <f>IF(Introduction!$E$7=1,CONCATENATE("🍻 ",O334),IF(Introduction!$E$7=2,CONCATENATE("Fêtons ",O334),CONCATENATE("✓ ",O334)))</f>
        <v>🍻 Delphine</v>
      </c>
    </row>
    <row r="335" spans="9:16" x14ac:dyDescent="0.2">
      <c r="I335" s="209">
        <v>43338</v>
      </c>
      <c r="J335" s="418" t="str">
        <f>IF(Introduction!$E$7=1,"🌕",IF(Introduction!$E$7=2,"O","⚇"))</f>
        <v>🌕</v>
      </c>
      <c r="L335" s="502">
        <f t="shared" si="16"/>
        <v>332</v>
      </c>
      <c r="M335" s="210">
        <v>27</v>
      </c>
      <c r="N335" s="210">
        <v>11</v>
      </c>
      <c r="O335" s="210" t="s">
        <v>383</v>
      </c>
      <c r="P335" s="210" t="str">
        <f>IF(Introduction!$E$7=1,CONCATENATE("🍻 ",O335),IF(Introduction!$E$7=2,CONCATENATE("Fêtons ",O335),CONCATENATE("✓ ",O335)))</f>
        <v>🍻 Séverin</v>
      </c>
    </row>
    <row r="336" spans="9:16" x14ac:dyDescent="0.2">
      <c r="I336" s="209">
        <v>43346</v>
      </c>
      <c r="J336" s="418" t="str">
        <f>IF(Introduction!$E$7=1,"🌗",IF(Introduction!$E$7=2,"D","☾"))</f>
        <v>🌗</v>
      </c>
      <c r="L336" s="502">
        <f t="shared" si="16"/>
        <v>333</v>
      </c>
      <c r="M336" s="210">
        <v>28</v>
      </c>
      <c r="N336" s="210">
        <v>11</v>
      </c>
      <c r="O336" s="210" t="s">
        <v>384</v>
      </c>
      <c r="P336" s="210" t="str">
        <f>IF(Introduction!$E$7=1,CONCATENATE("🍻 ",O336),IF(Introduction!$E$7=2,CONCATENATE("Fêtons ",O336),CONCATENATE("✓ ",O336)))</f>
        <v>🍻 Jacques, Sosthène</v>
      </c>
    </row>
    <row r="337" spans="9:16" x14ac:dyDescent="0.2">
      <c r="I337" s="209">
        <v>43352</v>
      </c>
      <c r="J337" s="418" t="str">
        <f>IF(Introduction!$E$7=1,"🌑",IF(Introduction!$E$7=2,"N","⚉"))</f>
        <v>🌑</v>
      </c>
      <c r="L337" s="502">
        <f t="shared" si="16"/>
        <v>334</v>
      </c>
      <c r="M337" s="210">
        <v>29</v>
      </c>
      <c r="N337" s="210">
        <v>11</v>
      </c>
      <c r="O337" s="210" t="s">
        <v>385</v>
      </c>
      <c r="P337" s="210" t="str">
        <f>IF(Introduction!$E$7=1,CONCATENATE("🍻 ",O337),IF(Introduction!$E$7=2,CONCATENATE("Fêtons ",O337),CONCATENATE("✓ ",O337)))</f>
        <v>🍻 Saturnin</v>
      </c>
    </row>
    <row r="338" spans="9:16" x14ac:dyDescent="0.2">
      <c r="I338" s="209">
        <v>43359</v>
      </c>
      <c r="J338" s="418" t="str">
        <f>IF(Introduction!$E$7=1,"🌓",IF(Introduction!$E$7=2,"P","☽"))</f>
        <v>🌓</v>
      </c>
      <c r="L338" s="502">
        <f t="shared" si="16"/>
        <v>335</v>
      </c>
      <c r="M338" s="210">
        <v>30</v>
      </c>
      <c r="N338" s="210">
        <v>11</v>
      </c>
      <c r="O338" s="210" t="s">
        <v>386</v>
      </c>
      <c r="P338" s="210" t="str">
        <f>IF(Introduction!$E$7=1,CONCATENATE("🍻 ",O338),IF(Introduction!$E$7=2,CONCATENATE("Fêtons ",O338),CONCATENATE("✓ ",O338)))</f>
        <v>🍻 André, Tugdual</v>
      </c>
    </row>
    <row r="339" spans="9:16" x14ac:dyDescent="0.2">
      <c r="I339" s="209">
        <v>43368</v>
      </c>
      <c r="J339" s="418" t="str">
        <f>IF(Introduction!$E$7=1,"🌕",IF(Introduction!$E$7=2,"O","⚇"))</f>
        <v>🌕</v>
      </c>
      <c r="L339" s="502">
        <f t="shared" si="16"/>
        <v>336</v>
      </c>
      <c r="M339" s="210">
        <v>1</v>
      </c>
      <c r="N339" s="210">
        <v>12</v>
      </c>
      <c r="O339" s="210" t="s">
        <v>387</v>
      </c>
      <c r="P339" s="210" t="str">
        <f>IF(Introduction!$E$7=1,CONCATENATE("🍻 ",O339),IF(Introduction!$E$7=2,CONCATENATE("Fêtons ",O339),CONCATENATE("✓ ",O339)))</f>
        <v>🍻 Éloi, Florence</v>
      </c>
    </row>
    <row r="340" spans="9:16" x14ac:dyDescent="0.2">
      <c r="I340" s="209">
        <v>43375</v>
      </c>
      <c r="J340" s="418" t="str">
        <f>IF(Introduction!$E$7=1,"🌗",IF(Introduction!$E$7=2,"D","☾"))</f>
        <v>🌗</v>
      </c>
      <c r="L340" s="502">
        <f t="shared" si="16"/>
        <v>337</v>
      </c>
      <c r="M340" s="210">
        <v>2</v>
      </c>
      <c r="N340" s="210">
        <v>12</v>
      </c>
      <c r="O340" s="210" t="s">
        <v>388</v>
      </c>
      <c r="P340" s="210" t="str">
        <f>IF(Introduction!$E$7=1,CONCATENATE("🍻 ",O340),IF(Introduction!$E$7=2,CONCATENATE("Fêtons ",O340),CONCATENATE("✓ ",O340)))</f>
        <v>🍻 Viviane</v>
      </c>
    </row>
    <row r="341" spans="9:16" x14ac:dyDescent="0.2">
      <c r="I341" s="209">
        <v>43382</v>
      </c>
      <c r="J341" s="418" t="str">
        <f>IF(Introduction!$E$7=1,"🌑",IF(Introduction!$E$7=2,"N","⚉"))</f>
        <v>🌑</v>
      </c>
      <c r="L341" s="502">
        <f t="shared" si="16"/>
        <v>338</v>
      </c>
      <c r="M341" s="210">
        <v>3</v>
      </c>
      <c r="N341" s="210">
        <v>12</v>
      </c>
      <c r="O341" s="210" t="s">
        <v>389</v>
      </c>
      <c r="P341" s="210" t="str">
        <f>IF(Introduction!$E$7=1,CONCATENATE("🍻 ",O341),IF(Introduction!$E$7=2,CONCATENATE("Fêtons ",O341),CONCATENATE("✓ ",O341)))</f>
        <v>🍻 Xavier</v>
      </c>
    </row>
    <row r="342" spans="9:16" x14ac:dyDescent="0.2">
      <c r="I342" s="209">
        <v>43389</v>
      </c>
      <c r="J342" s="418" t="str">
        <f>IF(Introduction!$E$7=1,"🌓",IF(Introduction!$E$7=2,"P","☽"))</f>
        <v>🌓</v>
      </c>
      <c r="L342" s="502">
        <f t="shared" si="16"/>
        <v>339</v>
      </c>
      <c r="M342" s="210">
        <v>4</v>
      </c>
      <c r="N342" s="210">
        <v>12</v>
      </c>
      <c r="O342" s="210" t="s">
        <v>390</v>
      </c>
      <c r="P342" s="210" t="str">
        <f>IF(Introduction!$E$7=1,CONCATENATE("🍻 ",O342),IF(Introduction!$E$7=2,CONCATENATE("Fêtons ",O342),CONCATENATE("✓ ",O342)))</f>
        <v>🍻 Barbara, Barbe</v>
      </c>
    </row>
    <row r="343" spans="9:16" x14ac:dyDescent="0.2">
      <c r="I343" s="209">
        <v>43397</v>
      </c>
      <c r="J343" s="418" t="str">
        <f>IF(Introduction!$E$7=1,"🌕",IF(Introduction!$E$7=2,"O","⚇"))</f>
        <v>🌕</v>
      </c>
      <c r="L343" s="502">
        <f t="shared" si="16"/>
        <v>340</v>
      </c>
      <c r="M343" s="210">
        <v>5</v>
      </c>
      <c r="N343" s="210">
        <v>12</v>
      </c>
      <c r="O343" s="210" t="s">
        <v>391</v>
      </c>
      <c r="P343" s="210" t="str">
        <f>IF(Introduction!$E$7=1,CONCATENATE("🍻 ",O343),IF(Introduction!$E$7=2,CONCATENATE("Fêtons ",O343),CONCATENATE("✓ ",O343)))</f>
        <v>🍻 Gérald, Gérard</v>
      </c>
    </row>
    <row r="344" spans="9:16" x14ac:dyDescent="0.2">
      <c r="I344" s="209">
        <v>43404</v>
      </c>
      <c r="J344" s="418" t="str">
        <f>IF(Introduction!$E$7=1,"🌗",IF(Introduction!$E$7=2,"D","☾"))</f>
        <v>🌗</v>
      </c>
      <c r="L344" s="502">
        <f t="shared" si="16"/>
        <v>341</v>
      </c>
      <c r="M344" s="210">
        <v>6</v>
      </c>
      <c r="N344" s="210">
        <v>12</v>
      </c>
      <c r="O344" s="210" t="s">
        <v>392</v>
      </c>
      <c r="P344" s="210" t="str">
        <f>IF(Introduction!$E$7=1,CONCATENATE("🍻 ",O344),IF(Introduction!$E$7=2,CONCATENATE("Fêtons ",O344),CONCATENATE("✓ ",O344)))</f>
        <v>🍻 Nicolas</v>
      </c>
    </row>
    <row r="345" spans="9:16" x14ac:dyDescent="0.2">
      <c r="I345" s="209">
        <v>43411</v>
      </c>
      <c r="J345" s="418" t="str">
        <f>IF(Introduction!$E$7=1,"🌑",IF(Introduction!$E$7=2,"N","⚉"))</f>
        <v>🌑</v>
      </c>
      <c r="L345" s="502">
        <f t="shared" si="16"/>
        <v>342</v>
      </c>
      <c r="M345" s="210">
        <v>7</v>
      </c>
      <c r="N345" s="210">
        <v>12</v>
      </c>
      <c r="O345" s="210" t="s">
        <v>393</v>
      </c>
      <c r="P345" s="210" t="str">
        <f>IF(Introduction!$E$7=1,CONCATENATE("🍻 ",O345),IF(Introduction!$E$7=2,CONCATENATE("Fêtons ",O345),CONCATENATE("✓ ",O345)))</f>
        <v>🍻 Ambroise</v>
      </c>
    </row>
    <row r="346" spans="9:16" x14ac:dyDescent="0.2">
      <c r="I346" s="209">
        <v>43419</v>
      </c>
      <c r="J346" s="418" t="str">
        <f>IF(Introduction!$E$7=1,"🌓",IF(Introduction!$E$7=2,"P","☽"))</f>
        <v>🌓</v>
      </c>
      <c r="L346" s="502">
        <f t="shared" si="16"/>
        <v>343</v>
      </c>
      <c r="M346" s="210">
        <v>8</v>
      </c>
      <c r="N346" s="210">
        <v>12</v>
      </c>
      <c r="O346" s="210" t="s">
        <v>394</v>
      </c>
      <c r="P346" s="210" t="str">
        <f>IF(Introduction!$E$7=1,CONCATENATE("🍻 ",O346),IF(Introduction!$E$7=2,CONCATENATE("Fêtons ",O346),CONCATENATE("✓ ",O346)))</f>
        <v>🍻 Frida</v>
      </c>
    </row>
    <row r="347" spans="9:16" x14ac:dyDescent="0.2">
      <c r="I347" s="209">
        <v>43427</v>
      </c>
      <c r="J347" s="418" t="str">
        <f>IF(Introduction!$E$7=1,"🌕",IF(Introduction!$E$7=2,"O","⚇"))</f>
        <v>🌕</v>
      </c>
      <c r="L347" s="502">
        <f t="shared" si="16"/>
        <v>344</v>
      </c>
      <c r="M347" s="210">
        <v>9</v>
      </c>
      <c r="N347" s="210">
        <v>12</v>
      </c>
      <c r="O347" s="210" t="s">
        <v>395</v>
      </c>
      <c r="P347" s="210" t="str">
        <f>IF(Introduction!$E$7=1,CONCATENATE("🍻 ",O347),IF(Introduction!$E$7=2,CONCATENATE("Fêtons ",O347),CONCATENATE("✓ ",O347)))</f>
        <v>🍻 Pierre Fourier</v>
      </c>
    </row>
    <row r="348" spans="9:16" x14ac:dyDescent="0.2">
      <c r="I348" s="209">
        <v>43434</v>
      </c>
      <c r="J348" s="418" t="str">
        <f>IF(Introduction!$E$7=1,"🌗",IF(Introduction!$E$7=2,"D","☾"))</f>
        <v>🌗</v>
      </c>
      <c r="L348" s="502">
        <f t="shared" si="16"/>
        <v>345</v>
      </c>
      <c r="M348" s="210">
        <v>10</v>
      </c>
      <c r="N348" s="210">
        <v>12</v>
      </c>
      <c r="O348" s="210" t="s">
        <v>396</v>
      </c>
      <c r="P348" s="210" t="str">
        <f>IF(Introduction!$E$7=1,CONCATENATE("🍻 ",O348),IF(Introduction!$E$7=2,CONCATENATE("Fêtons ",O348),CONCATENATE("✓ ",O348)))</f>
        <v>🍻 Eulaire, Romaric</v>
      </c>
    </row>
    <row r="349" spans="9:16" x14ac:dyDescent="0.2">
      <c r="I349" s="209">
        <v>43441</v>
      </c>
      <c r="J349" s="418" t="str">
        <f>IF(Introduction!$E$7=1,"🌑",IF(Introduction!$E$7=2,"N","⚉"))</f>
        <v>🌑</v>
      </c>
      <c r="L349" s="502">
        <f t="shared" si="16"/>
        <v>346</v>
      </c>
      <c r="M349" s="210">
        <v>11</v>
      </c>
      <c r="N349" s="210">
        <v>12</v>
      </c>
      <c r="O349" s="210" t="s">
        <v>397</v>
      </c>
      <c r="P349" s="210" t="str">
        <f>IF(Introduction!$E$7=1,CONCATENATE("🍻 ",O349),IF(Introduction!$E$7=2,CONCATENATE("Fêtons ",O349),CONCATENATE("✓ ",O349)))</f>
        <v>🍻 Daniel</v>
      </c>
    </row>
    <row r="350" spans="9:16" x14ac:dyDescent="0.2">
      <c r="I350" s="209">
        <v>43449</v>
      </c>
      <c r="J350" s="418" t="str">
        <f>IF(Introduction!$E$7=1,"🌓",IF(Introduction!$E$7=2,"P","☽"))</f>
        <v>🌓</v>
      </c>
      <c r="L350" s="502">
        <f t="shared" si="16"/>
        <v>347</v>
      </c>
      <c r="M350" s="210">
        <v>12</v>
      </c>
      <c r="N350" s="210">
        <v>12</v>
      </c>
      <c r="O350" s="210" t="s">
        <v>398</v>
      </c>
      <c r="P350" s="210" t="str">
        <f>IF(Introduction!$E$7=1,CONCATENATE("🍻 ",O350),IF(Introduction!$E$7=2,CONCATENATE("Fêtons ",O350),CONCATENATE("✓ ",O350)))</f>
        <v>🍻 Chantal, Constance, Corentin</v>
      </c>
    </row>
    <row r="351" spans="9:16" x14ac:dyDescent="0.2">
      <c r="I351" s="209">
        <v>43456</v>
      </c>
      <c r="J351" s="418" t="str">
        <f>IF(Introduction!$E$7=1,"🌕",IF(Introduction!$E$7=2,"O","⚇"))</f>
        <v>🌕</v>
      </c>
      <c r="L351" s="502">
        <f t="shared" si="16"/>
        <v>348</v>
      </c>
      <c r="M351" s="210">
        <v>13</v>
      </c>
      <c r="N351" s="210">
        <v>12</v>
      </c>
      <c r="O351" s="210" t="s">
        <v>399</v>
      </c>
      <c r="P351" s="210" t="str">
        <f>IF(Introduction!$E$7=1,CONCATENATE("🍻 ",O351),IF(Introduction!$E$7=2,CONCATENATE("Fêtons ",O351),CONCATENATE("✓ ",O351)))</f>
        <v>🍻 Jocelyn, Lucie</v>
      </c>
    </row>
    <row r="352" spans="9:16" x14ac:dyDescent="0.2">
      <c r="I352" s="209">
        <v>43463</v>
      </c>
      <c r="J352" s="418" t="str">
        <f>IF(Introduction!$E$7=1,"🌗",IF(Introduction!$E$7=2,"D","☾"))</f>
        <v>🌗</v>
      </c>
      <c r="L352" s="502">
        <f t="shared" si="16"/>
        <v>349</v>
      </c>
      <c r="M352" s="210">
        <v>14</v>
      </c>
      <c r="N352" s="210">
        <v>12</v>
      </c>
      <c r="O352" s="210" t="s">
        <v>400</v>
      </c>
      <c r="P352" s="210" t="str">
        <f>IF(Introduction!$E$7=1,CONCATENATE("🍻 ",O352),IF(Introduction!$E$7=2,CONCATENATE("Fêtons ",O352),CONCATENATE("✓ ",O352)))</f>
        <v>🍻 Odile</v>
      </c>
    </row>
    <row r="353" spans="9:16" x14ac:dyDescent="0.2">
      <c r="I353" s="209">
        <v>43471</v>
      </c>
      <c r="J353" s="418" t="str">
        <f>IF(Introduction!$E$7=1,"🌑",IF(Introduction!$E$7=2,"N","⚉"))</f>
        <v>🌑</v>
      </c>
      <c r="L353" s="502">
        <f t="shared" si="16"/>
        <v>350</v>
      </c>
      <c r="M353" s="210">
        <v>15</v>
      </c>
      <c r="N353" s="210">
        <v>12</v>
      </c>
      <c r="O353" s="210" t="s">
        <v>401</v>
      </c>
      <c r="P353" s="210" t="str">
        <f>IF(Introduction!$E$7=1,CONCATENATE("🍻 ",O353),IF(Introduction!$E$7=2,CONCATENATE("Fêtons ",O353),CONCATENATE("✓ ",O353)))</f>
        <v>🍻 Ninon</v>
      </c>
    </row>
    <row r="354" spans="9:16" x14ac:dyDescent="0.2">
      <c r="I354" s="209">
        <v>43479</v>
      </c>
      <c r="J354" s="418" t="str">
        <f>IF(Introduction!$E$7=1,"🌓",IF(Introduction!$E$7=2,"P","☽"))</f>
        <v>🌓</v>
      </c>
      <c r="L354" s="502">
        <f t="shared" si="16"/>
        <v>351</v>
      </c>
      <c r="M354" s="210">
        <v>16</v>
      </c>
      <c r="N354" s="210">
        <v>12</v>
      </c>
      <c r="O354" s="210" t="s">
        <v>402</v>
      </c>
      <c r="P354" s="210" t="str">
        <f>IF(Introduction!$E$7=1,CONCATENATE("🍻 ",O354),IF(Introduction!$E$7=2,CONCATENATE("Fêtons ",O354),CONCATENATE("✓ ",O354)))</f>
        <v>🍻 Alice</v>
      </c>
    </row>
    <row r="355" spans="9:16" x14ac:dyDescent="0.2">
      <c r="I355" s="209">
        <v>43486</v>
      </c>
      <c r="J355" s="418" t="str">
        <f>IF(Introduction!$E$7=1,"🌕",IF(Introduction!$E$7=2,"O","⚇"))</f>
        <v>🌕</v>
      </c>
      <c r="L355" s="502">
        <f t="shared" si="16"/>
        <v>352</v>
      </c>
      <c r="M355" s="210">
        <v>17</v>
      </c>
      <c r="N355" s="210">
        <v>12</v>
      </c>
      <c r="O355" s="210" t="s">
        <v>403</v>
      </c>
      <c r="P355" s="210" t="str">
        <f>IF(Introduction!$E$7=1,CONCATENATE("🍻 ",O355),IF(Introduction!$E$7=2,CONCATENATE("Fêtons ",O355),CONCATENATE("✓ ",O355)))</f>
        <v>🍻 Adélaïde, Gaël, Judicaël</v>
      </c>
    </row>
    <row r="356" spans="9:16" x14ac:dyDescent="0.2">
      <c r="I356" s="209">
        <v>43492</v>
      </c>
      <c r="J356" s="418" t="str">
        <f>IF(Introduction!$E$7=1,"🌗",IF(Introduction!$E$7=2,"D","☾"))</f>
        <v>🌗</v>
      </c>
      <c r="L356" s="502">
        <f t="shared" si="16"/>
        <v>353</v>
      </c>
      <c r="M356" s="210">
        <v>18</v>
      </c>
      <c r="N356" s="210">
        <v>12</v>
      </c>
      <c r="O356" s="210" t="s">
        <v>404</v>
      </c>
      <c r="P356" s="210" t="str">
        <f>IF(Introduction!$E$7=1,CONCATENATE("🍻 ",O356),IF(Introduction!$E$7=2,CONCATENATE("Fêtons ",O356),CONCATENATE("✓ ",O356)))</f>
        <v>🍻 Briac, Gatien</v>
      </c>
    </row>
    <row r="357" spans="9:16" x14ac:dyDescent="0.2">
      <c r="I357" s="209">
        <v>43500</v>
      </c>
      <c r="J357" s="418" t="str">
        <f>IF(Introduction!$E$7=1,"🌑",IF(Introduction!$E$7=2,"N","⚉"))</f>
        <v>🌑</v>
      </c>
      <c r="L357" s="502">
        <f t="shared" si="16"/>
        <v>354</v>
      </c>
      <c r="M357" s="210">
        <v>19</v>
      </c>
      <c r="N357" s="210">
        <v>12</v>
      </c>
      <c r="O357" s="210" t="s">
        <v>405</v>
      </c>
      <c r="P357" s="210" t="str">
        <f>IF(Introduction!$E$7=1,CONCATENATE("🍻 ",O357),IF(Introduction!$E$7=2,CONCATENATE("Fêtons ",O357),CONCATENATE("✓ ",O357)))</f>
        <v>🍻 Urbain</v>
      </c>
    </row>
    <row r="358" spans="9:16" x14ac:dyDescent="0.2">
      <c r="I358" s="209">
        <v>43508</v>
      </c>
      <c r="J358" s="418" t="str">
        <f>IF(Introduction!$E$7=1,"🌓",IF(Introduction!$E$7=2,"P","☽"))</f>
        <v>🌓</v>
      </c>
      <c r="L358" s="502">
        <f t="shared" si="16"/>
        <v>355</v>
      </c>
      <c r="M358" s="210">
        <v>20</v>
      </c>
      <c r="N358" s="210">
        <v>12</v>
      </c>
      <c r="O358" s="210" t="s">
        <v>406</v>
      </c>
      <c r="P358" s="210" t="str">
        <f>IF(Introduction!$E$7=1,CONCATENATE("🍻 ",O358),IF(Introduction!$E$7=2,CONCATENATE("Fêtons ",O358),CONCATENATE("✓ ",O358)))</f>
        <v>🍻 Abraham, Isaac, Jacob, Théophile</v>
      </c>
    </row>
    <row r="359" spans="9:16" x14ac:dyDescent="0.2">
      <c r="I359" s="209">
        <v>43515</v>
      </c>
      <c r="J359" s="418" t="str">
        <f>IF(Introduction!$E$7=1,"🌕",IF(Introduction!$E$7=2,"O","⚇"))</f>
        <v>🌕</v>
      </c>
      <c r="L359" s="502">
        <f t="shared" si="16"/>
        <v>356</v>
      </c>
      <c r="M359" s="210">
        <v>21</v>
      </c>
      <c r="N359" s="210">
        <v>12</v>
      </c>
      <c r="O359" s="210" t="s">
        <v>407</v>
      </c>
      <c r="P359" s="210" t="str">
        <f>IF(Introduction!$E$7=1,CONCATENATE("🍻 ",O359),IF(Introduction!$E$7=2,CONCATENATE("Fêtons ",O359),CONCATENATE("✓ ",O359)))</f>
        <v>🍻 Pierre Canisius</v>
      </c>
    </row>
    <row r="360" spans="9:16" x14ac:dyDescent="0.2">
      <c r="I360" s="209">
        <v>43522</v>
      </c>
      <c r="J360" s="418" t="str">
        <f>IF(Introduction!$E$7=1,"🌗",IF(Introduction!$E$7=2,"D","☾"))</f>
        <v>🌗</v>
      </c>
      <c r="L360" s="502">
        <f t="shared" si="16"/>
        <v>357</v>
      </c>
      <c r="M360" s="210">
        <v>22</v>
      </c>
      <c r="N360" s="210">
        <v>12</v>
      </c>
      <c r="O360" s="210" t="s">
        <v>408</v>
      </c>
      <c r="P360" s="210" t="str">
        <f>IF(Introduction!$E$7=1,CONCATENATE("🍻 ",O360),IF(Introduction!$E$7=2,CONCATENATE("Fêtons ",O360),CONCATENATE("✓ ",O360)))</f>
        <v>🍻 Françoise-Xavière, Gratien</v>
      </c>
    </row>
    <row r="361" spans="9:16" x14ac:dyDescent="0.2">
      <c r="I361" s="209">
        <v>43530</v>
      </c>
      <c r="J361" s="418" t="str">
        <f>IF(Introduction!$E$7=1,"🌑",IF(Introduction!$E$7=2,"N","⚉"))</f>
        <v>🌑</v>
      </c>
      <c r="L361" s="502">
        <f t="shared" si="16"/>
        <v>358</v>
      </c>
      <c r="M361" s="210">
        <v>23</v>
      </c>
      <c r="N361" s="210">
        <v>12</v>
      </c>
      <c r="O361" s="210" t="s">
        <v>409</v>
      </c>
      <c r="P361" s="210" t="str">
        <f>IF(Introduction!$E$7=1,CONCATENATE("🍻 ",O361),IF(Introduction!$E$7=2,CONCATENATE("Fêtons ",O361),CONCATENATE("✓ ",O361)))</f>
        <v>🍻 Armand, Évariste</v>
      </c>
    </row>
    <row r="362" spans="9:16" x14ac:dyDescent="0.2">
      <c r="I362" s="209">
        <v>43538</v>
      </c>
      <c r="J362" s="418" t="str">
        <f>IF(Introduction!$E$7=1,"🌓",IF(Introduction!$E$7=2,"P","☽"))</f>
        <v>🌓</v>
      </c>
      <c r="L362" s="502">
        <f t="shared" si="16"/>
        <v>359</v>
      </c>
      <c r="M362" s="210">
        <v>24</v>
      </c>
      <c r="N362" s="210">
        <v>12</v>
      </c>
      <c r="O362" s="210" t="s">
        <v>410</v>
      </c>
      <c r="P362" s="210" t="str">
        <f>IF(Introduction!$E$7=1,CONCATENATE("🍻 ",O362),IF(Introduction!$E$7=2,CONCATENATE("Fêtons ",O362),CONCATENATE("✓ ",O362)))</f>
        <v>🍻 Adèle</v>
      </c>
    </row>
    <row r="363" spans="9:16" x14ac:dyDescent="0.2">
      <c r="I363" s="209">
        <v>43545</v>
      </c>
      <c r="J363" s="418" t="str">
        <f>IF(Introduction!$E$7=1,"🌕",IF(Introduction!$E$7=2,"O","⚇"))</f>
        <v>🌕</v>
      </c>
      <c r="L363" s="502">
        <f t="shared" si="16"/>
        <v>360</v>
      </c>
      <c r="M363" s="210">
        <v>25</v>
      </c>
      <c r="N363" s="210">
        <v>12</v>
      </c>
      <c r="O363" s="210" t="s">
        <v>411</v>
      </c>
      <c r="P363" s="210" t="str">
        <f>IF(Introduction!$E$7=1,CONCATENATE("🍻 ",O363),IF(Introduction!$E$7=2,CONCATENATE("Fêtons ",O363),CONCATENATE("✓ ",O363)))</f>
        <v>🍻 Emmanuel, Manuel</v>
      </c>
    </row>
    <row r="364" spans="9:16" x14ac:dyDescent="0.2">
      <c r="I364" s="209">
        <v>43552</v>
      </c>
      <c r="J364" s="418" t="str">
        <f>IF(Introduction!$E$7=1,"🌗",IF(Introduction!$E$7=2,"D","☾"))</f>
        <v>🌗</v>
      </c>
      <c r="L364" s="502">
        <f t="shared" si="16"/>
        <v>361</v>
      </c>
      <c r="M364" s="210">
        <v>26</v>
      </c>
      <c r="N364" s="210">
        <v>12</v>
      </c>
      <c r="O364" s="210" t="s">
        <v>412</v>
      </c>
      <c r="P364" s="210" t="str">
        <f>IF(Introduction!$E$7=1,CONCATENATE("🍻 ",O364),IF(Introduction!$E$7=2,CONCATENATE("Fêtons ",O364),CONCATENATE("✓ ",O364)))</f>
        <v>🍻 Etienne, Stéphane</v>
      </c>
    </row>
    <row r="365" spans="9:16" x14ac:dyDescent="0.2">
      <c r="I365" s="209">
        <v>43560</v>
      </c>
      <c r="J365" s="418" t="str">
        <f>IF(Introduction!$E$7=1,"🌑",IF(Introduction!$E$7=2,"N","⚉"))</f>
        <v>🌑</v>
      </c>
      <c r="L365" s="502">
        <f t="shared" si="16"/>
        <v>362</v>
      </c>
      <c r="M365" s="210">
        <v>27</v>
      </c>
      <c r="N365" s="210">
        <v>12</v>
      </c>
      <c r="O365" s="210" t="s">
        <v>413</v>
      </c>
      <c r="P365" s="210" t="str">
        <f>IF(Introduction!$E$7=1,CONCATENATE("🍻 ",O365),IF(Introduction!$E$7=2,CONCATENATE("Fêtons ",O365),CONCATENATE("✓ ",O365)))</f>
        <v>🍻 Fabiola, Jean, Yoni</v>
      </c>
    </row>
    <row r="366" spans="9:16" x14ac:dyDescent="0.2">
      <c r="I366" s="209">
        <v>43567</v>
      </c>
      <c r="J366" s="418" t="str">
        <f>IF(Introduction!$E$7=1,"🌓",IF(Introduction!$E$7=2,"P","☽"))</f>
        <v>🌓</v>
      </c>
      <c r="L366" s="502">
        <f t="shared" si="16"/>
        <v>363</v>
      </c>
      <c r="M366" s="210">
        <v>28</v>
      </c>
      <c r="N366" s="210">
        <v>12</v>
      </c>
      <c r="O366" s="210" t="s">
        <v>414</v>
      </c>
      <c r="P366" s="210" t="str">
        <f>IF(Introduction!$E$7=1,CONCATENATE("🍻 ",O366),IF(Introduction!$E$7=2,CONCATENATE("Fêtons ",O366),CONCATENATE("✓ ",O366)))</f>
        <v>🍻 Éléonore, Gaspard, Innocent</v>
      </c>
    </row>
    <row r="367" spans="9:16" x14ac:dyDescent="0.2">
      <c r="I367" s="209">
        <v>43574</v>
      </c>
      <c r="J367" s="418" t="str">
        <f>IF(Introduction!$E$7=1,"🌕",IF(Introduction!$E$7=2,"O","⚇"))</f>
        <v>🌕</v>
      </c>
      <c r="L367" s="502">
        <f t="shared" si="16"/>
        <v>364</v>
      </c>
      <c r="M367" s="210">
        <v>29</v>
      </c>
      <c r="N367" s="210">
        <v>12</v>
      </c>
      <c r="O367" s="210" t="s">
        <v>415</v>
      </c>
      <c r="P367" s="210" t="str">
        <f>IF(Introduction!$E$7=1,CONCATENATE("🍻 ",O367),IF(Introduction!$E$7=2,CONCATENATE("Fêtons ",O367),CONCATENATE("✓ ",O367)))</f>
        <v>🍻 David</v>
      </c>
    </row>
    <row r="368" spans="9:16" x14ac:dyDescent="0.2">
      <c r="I368" s="209">
        <v>43581</v>
      </c>
      <c r="J368" s="418" t="str">
        <f>IF(Introduction!$E$7=1,"🌗",IF(Introduction!$E$7=2,"D","☾"))</f>
        <v>🌗</v>
      </c>
      <c r="L368" s="502">
        <f t="shared" si="16"/>
        <v>365</v>
      </c>
      <c r="M368" s="210">
        <v>30</v>
      </c>
      <c r="N368" s="210">
        <v>12</v>
      </c>
      <c r="O368" s="210" t="s">
        <v>416</v>
      </c>
      <c r="P368" s="210" t="str">
        <f>IF(Introduction!$E$7=1,CONCATENATE("🍻 ",O368),IF(Introduction!$E$7=2,CONCATENATE("Fêtons ",O368),CONCATENATE("✓ ",O368)))</f>
        <v>🍻 Roger</v>
      </c>
    </row>
    <row r="369" spans="9:16" x14ac:dyDescent="0.2">
      <c r="I369" s="209">
        <v>43589</v>
      </c>
      <c r="J369" s="418" t="str">
        <f>IF(Introduction!$E$7=1,"🌑",IF(Introduction!$E$7=2,"N","⚉"))</f>
        <v>🌑</v>
      </c>
      <c r="L369" s="502">
        <f t="shared" si="16"/>
        <v>366</v>
      </c>
      <c r="M369" s="210">
        <v>31</v>
      </c>
      <c r="N369" s="210">
        <v>12</v>
      </c>
      <c r="O369" s="210" t="s">
        <v>417</v>
      </c>
      <c r="P369" s="210" t="str">
        <f>IF(Introduction!$E$7=1,CONCATENATE("🍻 ",O369),IF(Introduction!$E$7=2,CONCATENATE("Fêtons ",O369),CONCATENATE("✓ ",O369)))</f>
        <v>🍻 Colombe, Sylvestre</v>
      </c>
    </row>
    <row r="370" spans="9:16" x14ac:dyDescent="0.2">
      <c r="I370" s="209">
        <v>43597</v>
      </c>
      <c r="J370" s="418" t="str">
        <f>IF(Introduction!$E$7=1,"🌓",IF(Introduction!$E$7=2,"P","☽"))</f>
        <v>🌓</v>
      </c>
    </row>
    <row r="371" spans="9:16" x14ac:dyDescent="0.2">
      <c r="I371" s="209">
        <v>43603</v>
      </c>
      <c r="J371" s="418" t="str">
        <f>IF(Introduction!$E$7=1,"🌕",IF(Introduction!$E$7=2,"O","⚇"))</f>
        <v>🌕</v>
      </c>
    </row>
    <row r="372" spans="9:16" x14ac:dyDescent="0.2">
      <c r="I372" s="209">
        <v>43611</v>
      </c>
      <c r="J372" s="418" t="str">
        <f>IF(Introduction!$E$7=1,"🌗",IF(Introduction!$E$7=2,"D","☾"))</f>
        <v>🌗</v>
      </c>
    </row>
    <row r="373" spans="9:16" x14ac:dyDescent="0.2">
      <c r="I373" s="209">
        <v>43619</v>
      </c>
      <c r="J373" s="418" t="str">
        <f>IF(Introduction!$E$7=1,"🌑",IF(Introduction!$E$7=2,"N","⚉"))</f>
        <v>🌑</v>
      </c>
    </row>
    <row r="374" spans="9:16" x14ac:dyDescent="0.2">
      <c r="I374" s="209">
        <v>43626</v>
      </c>
      <c r="J374" s="418" t="str">
        <f>IF(Introduction!$E$7=1,"🌓",IF(Introduction!$E$7=2,"P","☽"))</f>
        <v>🌓</v>
      </c>
    </row>
    <row r="375" spans="9:16" x14ac:dyDescent="0.2">
      <c r="I375" s="209">
        <v>43633</v>
      </c>
      <c r="J375" s="418" t="str">
        <f>IF(Introduction!$E$7=1,"🌕",IF(Introduction!$E$7=2,"O","⚇"))</f>
        <v>🌕</v>
      </c>
    </row>
    <row r="376" spans="9:16" x14ac:dyDescent="0.2">
      <c r="I376" s="209">
        <v>43641</v>
      </c>
      <c r="J376" s="418" t="str">
        <f>IF(Introduction!$E$7=1,"🌗",IF(Introduction!$E$7=2,"D","☾"))</f>
        <v>🌗</v>
      </c>
    </row>
    <row r="377" spans="9:16" x14ac:dyDescent="0.2">
      <c r="I377" s="209">
        <v>43648</v>
      </c>
      <c r="J377" s="418" t="str">
        <f>IF(Introduction!$E$7=1,"🌑",IF(Introduction!$E$7=2,"N","⚉"))</f>
        <v>🌑</v>
      </c>
    </row>
    <row r="378" spans="9:16" x14ac:dyDescent="0.2">
      <c r="I378" s="209">
        <v>43655</v>
      </c>
      <c r="J378" s="418" t="str">
        <f>IF(Introduction!$E$7=1,"🌓",IF(Introduction!$E$7=2,"P","☽"))</f>
        <v>🌓</v>
      </c>
    </row>
    <row r="379" spans="9:16" x14ac:dyDescent="0.2">
      <c r="I379" s="209">
        <v>43662</v>
      </c>
      <c r="J379" s="418" t="str">
        <f>IF(Introduction!$E$7=1,"🌕",IF(Introduction!$E$7=2,"O","⚇"))</f>
        <v>🌕</v>
      </c>
    </row>
    <row r="380" spans="9:16" x14ac:dyDescent="0.2">
      <c r="I380" s="209">
        <v>43671</v>
      </c>
      <c r="J380" s="418" t="str">
        <f>IF(Introduction!$E$7=1,"🌗",IF(Introduction!$E$7=2,"D","☾"))</f>
        <v>🌗</v>
      </c>
    </row>
    <row r="381" spans="9:16" x14ac:dyDescent="0.2">
      <c r="I381" s="209">
        <v>43678</v>
      </c>
      <c r="J381" s="418" t="str">
        <f>IF(Introduction!$E$7=1,"🌑",IF(Introduction!$E$7=2,"N","⚉"))</f>
        <v>🌑</v>
      </c>
    </row>
    <row r="382" spans="9:16" x14ac:dyDescent="0.2">
      <c r="I382" s="209">
        <v>43684</v>
      </c>
      <c r="J382" s="418" t="str">
        <f>IF(Introduction!$E$7=1,"🌓",IF(Introduction!$E$7=2,"P","☽"))</f>
        <v>🌓</v>
      </c>
    </row>
    <row r="383" spans="9:16" x14ac:dyDescent="0.2">
      <c r="I383" s="209">
        <v>43692</v>
      </c>
      <c r="J383" s="418" t="str">
        <f>IF(Introduction!$E$7=1,"🌕",IF(Introduction!$E$7=2,"O","⚇"))</f>
        <v>🌕</v>
      </c>
    </row>
    <row r="384" spans="9:16" x14ac:dyDescent="0.2">
      <c r="I384" s="209">
        <v>43700</v>
      </c>
      <c r="J384" s="418" t="str">
        <f>IF(Introduction!$E$7=1,"🌗",IF(Introduction!$E$7=2,"D","☾"))</f>
        <v>🌗</v>
      </c>
    </row>
    <row r="385" spans="9:10" x14ac:dyDescent="0.2">
      <c r="I385" s="209">
        <v>43707</v>
      </c>
      <c r="J385" s="418" t="str">
        <f>IF(Introduction!$E$7=1,"🌑",IF(Introduction!$E$7=2,"N","⚉"))</f>
        <v>🌑</v>
      </c>
    </row>
    <row r="386" spans="9:10" x14ac:dyDescent="0.2">
      <c r="I386" s="209">
        <v>43714</v>
      </c>
      <c r="J386" s="418" t="str">
        <f>IF(Introduction!$E$7=1,"🌓",IF(Introduction!$E$7=2,"P","☽"))</f>
        <v>🌓</v>
      </c>
    </row>
    <row r="387" spans="9:10" x14ac:dyDescent="0.2">
      <c r="I387" s="209">
        <v>43722</v>
      </c>
      <c r="J387" s="418" t="str">
        <f>IF(Introduction!$E$7=1,"🌕",IF(Introduction!$E$7=2,"O","⚇"))</f>
        <v>🌕</v>
      </c>
    </row>
    <row r="388" spans="9:10" x14ac:dyDescent="0.2">
      <c r="I388" s="209">
        <v>43730</v>
      </c>
      <c r="J388" s="418" t="str">
        <f>IF(Introduction!$E$7=1,"🌗",IF(Introduction!$E$7=2,"D","☾"))</f>
        <v>🌗</v>
      </c>
    </row>
    <row r="389" spans="9:10" x14ac:dyDescent="0.2">
      <c r="I389" s="209">
        <v>43736</v>
      </c>
      <c r="J389" s="418" t="str">
        <f>IF(Introduction!$E$7=1,"🌑",IF(Introduction!$E$7=2,"N","⚉"))</f>
        <v>🌑</v>
      </c>
    </row>
    <row r="390" spans="9:10" x14ac:dyDescent="0.2">
      <c r="I390" s="209">
        <v>43743</v>
      </c>
      <c r="J390" s="418" t="str">
        <f>IF(Introduction!$E$7=1,"🌓",IF(Introduction!$E$7=2,"P","☽"))</f>
        <v>🌓</v>
      </c>
    </row>
    <row r="391" spans="9:10" x14ac:dyDescent="0.2">
      <c r="I391" s="209">
        <v>43751</v>
      </c>
      <c r="J391" s="418" t="str">
        <f>IF(Introduction!$E$7=1,"🌕",IF(Introduction!$E$7=2,"O","⚇"))</f>
        <v>🌕</v>
      </c>
    </row>
    <row r="392" spans="9:10" x14ac:dyDescent="0.2">
      <c r="I392" s="209">
        <v>43759</v>
      </c>
      <c r="J392" s="418" t="str">
        <f>IF(Introduction!$E$7=1,"🌗",IF(Introduction!$E$7=2,"D","☾"))</f>
        <v>🌗</v>
      </c>
    </row>
    <row r="393" spans="9:10" x14ac:dyDescent="0.2">
      <c r="I393" s="209">
        <v>43766</v>
      </c>
      <c r="J393" s="418" t="str">
        <f>IF(Introduction!$E$7=1,"🌑",IF(Introduction!$E$7=2,"N","⚉"))</f>
        <v>🌑</v>
      </c>
    </row>
    <row r="394" spans="9:10" x14ac:dyDescent="0.2">
      <c r="I394" s="209">
        <v>43773</v>
      </c>
      <c r="J394" s="418" t="str">
        <f>IF(Introduction!$E$7=1,"🌓",IF(Introduction!$E$7=2,"P","☽"))</f>
        <v>🌓</v>
      </c>
    </row>
    <row r="395" spans="9:10" x14ac:dyDescent="0.2">
      <c r="I395" s="209">
        <v>43781</v>
      </c>
      <c r="J395" s="418" t="str">
        <f>IF(Introduction!$E$7=1,"🌕",IF(Introduction!$E$7=2,"O","⚇"))</f>
        <v>🌕</v>
      </c>
    </row>
    <row r="396" spans="9:10" x14ac:dyDescent="0.2">
      <c r="I396" s="209">
        <v>43788</v>
      </c>
      <c r="J396" s="418" t="str">
        <f>IF(Introduction!$E$7=1,"🌗",IF(Introduction!$E$7=2,"D","☾"))</f>
        <v>🌗</v>
      </c>
    </row>
    <row r="397" spans="9:10" x14ac:dyDescent="0.2">
      <c r="I397" s="209">
        <v>43795</v>
      </c>
      <c r="J397" s="418" t="str">
        <f>IF(Introduction!$E$7=1,"🌑",IF(Introduction!$E$7=2,"N","⚉"))</f>
        <v>🌑</v>
      </c>
    </row>
    <row r="398" spans="9:10" x14ac:dyDescent="0.2">
      <c r="I398" s="209">
        <v>43803</v>
      </c>
      <c r="J398" s="418" t="str">
        <f>IF(Introduction!$E$7=1,"🌓",IF(Introduction!$E$7=2,"P","☽"))</f>
        <v>🌓</v>
      </c>
    </row>
    <row r="399" spans="9:10" x14ac:dyDescent="0.2">
      <c r="I399" s="209">
        <v>43811</v>
      </c>
      <c r="J399" s="418" t="str">
        <f>IF(Introduction!$E$7=1,"🌕",IF(Introduction!$E$7=2,"O","⚇"))</f>
        <v>🌕</v>
      </c>
    </row>
    <row r="400" spans="9:10" x14ac:dyDescent="0.2">
      <c r="I400" s="209">
        <v>43818</v>
      </c>
      <c r="J400" s="418" t="str">
        <f>IF(Introduction!$E$7=1,"🌗",IF(Introduction!$E$7=2,"D","☾"))</f>
        <v>🌗</v>
      </c>
    </row>
    <row r="401" spans="9:10" x14ac:dyDescent="0.2">
      <c r="I401" s="209">
        <v>43825</v>
      </c>
      <c r="J401" s="418" t="str">
        <f>IF(Introduction!$E$7=1,"🌑",IF(Introduction!$E$7=2,"N","⚉"))</f>
        <v>🌑</v>
      </c>
    </row>
    <row r="402" spans="9:10" x14ac:dyDescent="0.2">
      <c r="I402" s="209">
        <v>43833</v>
      </c>
      <c r="J402" s="418" t="str">
        <f>IF(Introduction!$E$7=1,"🌓",IF(Introduction!$E$7=2,"P","☽"))</f>
        <v>🌓</v>
      </c>
    </row>
    <row r="403" spans="9:10" x14ac:dyDescent="0.2">
      <c r="I403" s="209">
        <v>43840</v>
      </c>
      <c r="J403" s="418" t="str">
        <f>IF(Introduction!$E$7=1,"🌕",IF(Introduction!$E$7=2,"O","⚇"))</f>
        <v>🌕</v>
      </c>
    </row>
    <row r="404" spans="9:10" x14ac:dyDescent="0.2">
      <c r="I404" s="209">
        <v>43847</v>
      </c>
      <c r="J404" s="418" t="str">
        <f>IF(Introduction!$E$7=1,"🌗",IF(Introduction!$E$7=2,"D","☾"))</f>
        <v>🌗</v>
      </c>
    </row>
    <row r="405" spans="9:10" x14ac:dyDescent="0.2">
      <c r="I405" s="209">
        <v>43854</v>
      </c>
      <c r="J405" s="418" t="str">
        <f>IF(Introduction!$E$7=1,"🌑",IF(Introduction!$E$7=2,"N","⚉"))</f>
        <v>🌑</v>
      </c>
    </row>
    <row r="406" spans="9:10" x14ac:dyDescent="0.2">
      <c r="I406" s="209">
        <v>43863</v>
      </c>
      <c r="J406" s="418" t="str">
        <f>IF(Introduction!$E$7=1,"🌓",IF(Introduction!$E$7=2,"P","☽"))</f>
        <v>🌓</v>
      </c>
    </row>
    <row r="407" spans="9:10" x14ac:dyDescent="0.2">
      <c r="I407" s="209">
        <v>43870</v>
      </c>
      <c r="J407" s="418" t="str">
        <f>IF(Introduction!$E$7=1,"🌕",IF(Introduction!$E$7=2,"O","⚇"))</f>
        <v>🌕</v>
      </c>
    </row>
    <row r="408" spans="9:10" x14ac:dyDescent="0.2">
      <c r="I408" s="209">
        <v>43876</v>
      </c>
      <c r="J408" s="418" t="str">
        <f>IF(Introduction!$E$7=1,"🌗",IF(Introduction!$E$7=2,"D","☾"))</f>
        <v>🌗</v>
      </c>
    </row>
    <row r="409" spans="9:10" x14ac:dyDescent="0.2">
      <c r="I409" s="209">
        <v>43884</v>
      </c>
      <c r="J409" s="418" t="str">
        <f>IF(Introduction!$E$7=1,"🌑",IF(Introduction!$E$7=2,"N","⚉"))</f>
        <v>🌑</v>
      </c>
    </row>
    <row r="410" spans="9:10" x14ac:dyDescent="0.2">
      <c r="I410" s="209">
        <v>43892</v>
      </c>
      <c r="J410" s="418" t="str">
        <f>IF(Introduction!$E$7=1,"🌓",IF(Introduction!$E$7=2,"P","☽"))</f>
        <v>🌓</v>
      </c>
    </row>
    <row r="411" spans="9:10" x14ac:dyDescent="0.2">
      <c r="I411" s="209">
        <v>43899</v>
      </c>
      <c r="J411" s="418" t="str">
        <f>IF(Introduction!$E$7=1,"🌕",IF(Introduction!$E$7=2,"O","⚇"))</f>
        <v>🌕</v>
      </c>
    </row>
    <row r="412" spans="9:10" x14ac:dyDescent="0.2">
      <c r="I412" s="209">
        <v>43906</v>
      </c>
      <c r="J412" s="418" t="str">
        <f>IF(Introduction!$E$7=1,"🌗",IF(Introduction!$E$7=2,"D","☾"))</f>
        <v>🌗</v>
      </c>
    </row>
    <row r="413" spans="9:10" x14ac:dyDescent="0.2">
      <c r="I413" s="209">
        <v>43914</v>
      </c>
      <c r="J413" s="418" t="str">
        <f>IF(Introduction!$E$7=1,"🌑",IF(Introduction!$E$7=2,"N","⚉"))</f>
        <v>🌑</v>
      </c>
    </row>
    <row r="414" spans="9:10" x14ac:dyDescent="0.2">
      <c r="I414" s="209">
        <v>43922</v>
      </c>
      <c r="J414" s="418" t="str">
        <f>IF(Introduction!$E$7=1,"🌓",IF(Introduction!$E$7=2,"P","☽"))</f>
        <v>🌓</v>
      </c>
    </row>
    <row r="415" spans="9:10" x14ac:dyDescent="0.2">
      <c r="I415" s="209">
        <v>43929</v>
      </c>
      <c r="J415" s="418" t="str">
        <f>IF(Introduction!$E$7=1,"🌕",IF(Introduction!$E$7=2,"O","⚇"))</f>
        <v>🌕</v>
      </c>
    </row>
    <row r="416" spans="9:10" x14ac:dyDescent="0.2">
      <c r="I416" s="209">
        <v>43935</v>
      </c>
      <c r="J416" s="418" t="str">
        <f>IF(Introduction!$E$7=1,"🌗",IF(Introduction!$E$7=2,"D","☾"))</f>
        <v>🌗</v>
      </c>
    </row>
    <row r="417" spans="9:10" x14ac:dyDescent="0.2">
      <c r="I417" s="209">
        <v>43944</v>
      </c>
      <c r="J417" s="418" t="str">
        <f>IF(Introduction!$E$7=1,"🌑",IF(Introduction!$E$7=2,"N","⚉"))</f>
        <v>🌑</v>
      </c>
    </row>
    <row r="418" spans="9:10" x14ac:dyDescent="0.2">
      <c r="I418" s="209">
        <v>43951</v>
      </c>
      <c r="J418" s="418" t="str">
        <f>IF(Introduction!$E$7=1,"🌓",IF(Introduction!$E$7=2,"P","☽"))</f>
        <v>🌓</v>
      </c>
    </row>
    <row r="419" spans="9:10" x14ac:dyDescent="0.2">
      <c r="I419" s="209">
        <v>43958</v>
      </c>
      <c r="J419" s="418" t="str">
        <f>IF(Introduction!$E$7=1,"🌕",IF(Introduction!$E$7=2,"O","⚇"))</f>
        <v>🌕</v>
      </c>
    </row>
    <row r="420" spans="9:10" x14ac:dyDescent="0.2">
      <c r="I420" s="209">
        <v>43965</v>
      </c>
      <c r="J420" s="418" t="str">
        <f>IF(Introduction!$E$7=1,"🌗",IF(Introduction!$E$7=2,"D","☾"))</f>
        <v>🌗</v>
      </c>
    </row>
    <row r="421" spans="9:10" x14ac:dyDescent="0.2">
      <c r="I421" s="209">
        <v>43973</v>
      </c>
      <c r="J421" s="418" t="str">
        <f>IF(Introduction!$E$7=1,"🌑",IF(Introduction!$E$7=2,"N","⚉"))</f>
        <v>🌑</v>
      </c>
    </row>
    <row r="422" spans="9:10" x14ac:dyDescent="0.2">
      <c r="I422" s="209">
        <v>43981</v>
      </c>
      <c r="J422" s="418" t="str">
        <f>IF(Introduction!$E$7=1,"🌓",IF(Introduction!$E$7=2,"P","☽"))</f>
        <v>🌓</v>
      </c>
    </row>
    <row r="423" spans="9:10" x14ac:dyDescent="0.2">
      <c r="I423" s="209">
        <v>43987</v>
      </c>
      <c r="J423" s="418" t="str">
        <f>IF(Introduction!$E$7=1,"🌕",IF(Introduction!$E$7=2,"O","⚇"))</f>
        <v>🌕</v>
      </c>
    </row>
    <row r="424" spans="9:10" x14ac:dyDescent="0.2">
      <c r="I424" s="209">
        <v>43995</v>
      </c>
      <c r="J424" s="418" t="str">
        <f>IF(Introduction!$E$7=1,"🌗",IF(Introduction!$E$7=2,"D","☾"))</f>
        <v>🌗</v>
      </c>
    </row>
    <row r="425" spans="9:10" x14ac:dyDescent="0.2">
      <c r="I425" s="209">
        <v>44003</v>
      </c>
      <c r="J425" s="418" t="str">
        <f>IF(Introduction!$E$7=1,"🌑",IF(Introduction!$E$7=2,"N","⚉"))</f>
        <v>🌑</v>
      </c>
    </row>
    <row r="426" spans="9:10" x14ac:dyDescent="0.2">
      <c r="I426" s="209">
        <v>44010</v>
      </c>
      <c r="J426" s="418" t="str">
        <f>IF(Introduction!$E$7=1,"🌓",IF(Introduction!$E$7=2,"P","☽"))</f>
        <v>🌓</v>
      </c>
    </row>
    <row r="427" spans="9:10" x14ac:dyDescent="0.2">
      <c r="I427" s="209">
        <v>44017</v>
      </c>
      <c r="J427" s="418" t="str">
        <f>IF(Introduction!$E$7=1,"🌕",IF(Introduction!$E$7=2,"O","⚇"))</f>
        <v>🌕</v>
      </c>
    </row>
    <row r="428" spans="9:10" x14ac:dyDescent="0.2">
      <c r="I428" s="209">
        <v>44024</v>
      </c>
      <c r="J428" s="418" t="str">
        <f>IF(Introduction!$E$7=1,"🌗",IF(Introduction!$E$7=2,"D","☾"))</f>
        <v>🌗</v>
      </c>
    </row>
    <row r="429" spans="9:10" x14ac:dyDescent="0.2">
      <c r="I429" s="209">
        <v>44032</v>
      </c>
      <c r="J429" s="418" t="str">
        <f>IF(Introduction!$E$7=1,"🌑",IF(Introduction!$E$7=2,"N","⚉"))</f>
        <v>🌑</v>
      </c>
    </row>
    <row r="430" spans="9:10" x14ac:dyDescent="0.2">
      <c r="I430" s="209">
        <v>44039</v>
      </c>
      <c r="J430" s="418" t="str">
        <f>IF(Introduction!$E$7=1,"🌓",IF(Introduction!$E$7=2,"P","☽"))</f>
        <v>🌓</v>
      </c>
    </row>
    <row r="431" spans="9:10" x14ac:dyDescent="0.2">
      <c r="I431" s="209">
        <v>44046</v>
      </c>
      <c r="J431" s="418" t="str">
        <f>IF(Introduction!$E$7=1,"🌕",IF(Introduction!$E$7=2,"O","⚇"))</f>
        <v>🌕</v>
      </c>
    </row>
    <row r="432" spans="9:10" x14ac:dyDescent="0.2">
      <c r="I432" s="209">
        <v>44054</v>
      </c>
      <c r="J432" s="418" t="str">
        <f>IF(Introduction!$E$7=1,"🌗",IF(Introduction!$E$7=2,"D","☾"))</f>
        <v>🌗</v>
      </c>
    </row>
    <row r="433" spans="9:10" x14ac:dyDescent="0.2">
      <c r="I433" s="209">
        <v>44062</v>
      </c>
      <c r="J433" s="418" t="str">
        <f>IF(Introduction!$E$7=1,"🌑",IF(Introduction!$E$7=2,"N","⚉"))</f>
        <v>🌑</v>
      </c>
    </row>
    <row r="434" spans="9:10" x14ac:dyDescent="0.2">
      <c r="I434" s="209">
        <v>44068</v>
      </c>
      <c r="J434" s="418" t="str">
        <f>IF(Introduction!$E$7=1,"🌓",IF(Introduction!$E$7=2,"P","☽"))</f>
        <v>🌓</v>
      </c>
    </row>
    <row r="435" spans="9:10" x14ac:dyDescent="0.2">
      <c r="I435" s="209">
        <v>44076</v>
      </c>
      <c r="J435" s="418" t="str">
        <f>IF(Introduction!$E$7=1,"🌕",IF(Introduction!$E$7=2,"O","⚇"))</f>
        <v>🌕</v>
      </c>
    </row>
    <row r="436" spans="9:10" x14ac:dyDescent="0.2">
      <c r="I436" s="209">
        <v>44084</v>
      </c>
      <c r="J436" s="418" t="str">
        <f>IF(Introduction!$E$7=1,"🌗",IF(Introduction!$E$7=2,"D","☾"))</f>
        <v>🌗</v>
      </c>
    </row>
    <row r="437" spans="9:10" x14ac:dyDescent="0.2">
      <c r="I437" s="209">
        <v>44091</v>
      </c>
      <c r="J437" s="418" t="str">
        <f>IF(Introduction!$E$7=1,"🌑",IF(Introduction!$E$7=2,"N","⚉"))</f>
        <v>🌑</v>
      </c>
    </row>
    <row r="438" spans="9:10" x14ac:dyDescent="0.2">
      <c r="I438" s="209">
        <v>44098</v>
      </c>
      <c r="J438" s="418" t="str">
        <f>IF(Introduction!$E$7=1,"🌓",IF(Introduction!$E$7=2,"P","☽"))</f>
        <v>🌓</v>
      </c>
    </row>
    <row r="439" spans="9:10" x14ac:dyDescent="0.2">
      <c r="I439" s="209">
        <v>44105</v>
      </c>
      <c r="J439" s="418" t="str">
        <f>IF(Introduction!$E$7=1,"🌕",IF(Introduction!$E$7=2,"O","⚇"))</f>
        <v>🌕</v>
      </c>
    </row>
    <row r="440" spans="9:10" x14ac:dyDescent="0.2">
      <c r="I440" s="209">
        <v>44114</v>
      </c>
      <c r="J440" s="418" t="str">
        <f>IF(Introduction!$E$7=1,"🌗",IF(Introduction!$E$7=2,"D","☾"))</f>
        <v>🌗</v>
      </c>
    </row>
    <row r="441" spans="9:10" x14ac:dyDescent="0.2">
      <c r="I441" s="209">
        <v>44120</v>
      </c>
      <c r="J441" s="418" t="str">
        <f>IF(Introduction!$E$7=1,"🌑",IF(Introduction!$E$7=2,"N","⚉"))</f>
        <v>🌑</v>
      </c>
    </row>
    <row r="442" spans="9:10" x14ac:dyDescent="0.2">
      <c r="I442" s="209">
        <v>44127</v>
      </c>
      <c r="J442" s="418" t="str">
        <f>IF(Introduction!$E$7=1,"🌓",IF(Introduction!$E$7=2,"P","☽"))</f>
        <v>🌓</v>
      </c>
    </row>
    <row r="443" spans="9:10" x14ac:dyDescent="0.2">
      <c r="I443" s="209">
        <v>44135</v>
      </c>
      <c r="J443" s="418" t="str">
        <f>IF(Introduction!$E$7=1,"🌕",IF(Introduction!$E$7=2,"O","⚇"))</f>
        <v>🌕</v>
      </c>
    </row>
    <row r="444" spans="9:10" x14ac:dyDescent="0.2">
      <c r="I444" s="209">
        <v>44143</v>
      </c>
      <c r="J444" s="418" t="str">
        <f>IF(Introduction!$E$7=1,"🌗",IF(Introduction!$E$7=2,"D","☾"))</f>
        <v>🌗</v>
      </c>
    </row>
    <row r="445" spans="9:10" x14ac:dyDescent="0.2">
      <c r="I445" s="209">
        <v>44150</v>
      </c>
      <c r="J445" s="418" t="str">
        <f>IF(Introduction!$E$7=1,"🌑",IF(Introduction!$E$7=2,"N","⚉"))</f>
        <v>🌑</v>
      </c>
    </row>
    <row r="446" spans="9:10" x14ac:dyDescent="0.2">
      <c r="I446" s="209">
        <v>44157</v>
      </c>
      <c r="J446" s="418" t="str">
        <f>IF(Introduction!$E$7=1,"🌓",IF(Introduction!$E$7=2,"P","☽"))</f>
        <v>🌓</v>
      </c>
    </row>
    <row r="447" spans="9:10" x14ac:dyDescent="0.2">
      <c r="I447" s="209">
        <v>44165</v>
      </c>
      <c r="J447" s="418" t="str">
        <f>IF(Introduction!$E$7=1,"🌕",IF(Introduction!$E$7=2,"O","⚇"))</f>
        <v>🌕</v>
      </c>
    </row>
    <row r="448" spans="9:10" x14ac:dyDescent="0.2">
      <c r="I448" s="209">
        <v>44173</v>
      </c>
      <c r="J448" s="418" t="str">
        <f>IF(Introduction!$E$7=1,"🌗",IF(Introduction!$E$7=2,"D","☾"))</f>
        <v>🌗</v>
      </c>
    </row>
    <row r="449" spans="9:10" x14ac:dyDescent="0.2">
      <c r="I449" s="209">
        <v>44179</v>
      </c>
      <c r="J449" s="418" t="str">
        <f>IF(Introduction!$E$7=1,"🌑",IF(Introduction!$E$7=2,"N","⚉"))</f>
        <v>🌑</v>
      </c>
    </row>
    <row r="450" spans="9:10" x14ac:dyDescent="0.2">
      <c r="I450" s="209">
        <v>44186</v>
      </c>
      <c r="J450" s="418" t="str">
        <f>IF(Introduction!$E$7=1,"🌓",IF(Introduction!$E$7=2,"P","☽"))</f>
        <v>🌓</v>
      </c>
    </row>
    <row r="451" spans="9:10" x14ac:dyDescent="0.2">
      <c r="I451" s="209">
        <v>44195</v>
      </c>
      <c r="J451" s="418" t="str">
        <f>IF(Introduction!$E$7=1,"🌕",IF(Introduction!$E$7=2,"O","⚇"))</f>
        <v>🌕</v>
      </c>
    </row>
    <row r="452" spans="9:10" x14ac:dyDescent="0.2">
      <c r="I452" s="209">
        <v>44202</v>
      </c>
      <c r="J452" s="418" t="str">
        <f>IF(Introduction!$E$7=1,"🌗",IF(Introduction!$E$7=2,"D","☾"))</f>
        <v>🌗</v>
      </c>
    </row>
    <row r="453" spans="9:10" x14ac:dyDescent="0.2">
      <c r="I453" s="209">
        <v>44209</v>
      </c>
      <c r="J453" s="418" t="str">
        <f>IF(Introduction!$E$7=1,"🌑",IF(Introduction!$E$7=2,"N","⚉"))</f>
        <v>🌑</v>
      </c>
    </row>
    <row r="454" spans="9:10" x14ac:dyDescent="0.2">
      <c r="I454" s="209">
        <v>44216</v>
      </c>
      <c r="J454" s="418" t="str">
        <f>IF(Introduction!$E$7=1,"🌓",IF(Introduction!$E$7=2,"P","☽"))</f>
        <v>🌓</v>
      </c>
    </row>
    <row r="455" spans="9:10" x14ac:dyDescent="0.2">
      <c r="I455" s="209">
        <v>44224</v>
      </c>
      <c r="J455" s="418" t="str">
        <f>IF(Introduction!$E$7=1,"🌕",IF(Introduction!$E$7=2,"O","⚇"))</f>
        <v>🌕</v>
      </c>
    </row>
    <row r="456" spans="9:10" x14ac:dyDescent="0.2">
      <c r="I456" s="209">
        <v>44231</v>
      </c>
      <c r="J456" s="418" t="str">
        <f>IF(Introduction!$E$7=1,"🌗",IF(Introduction!$E$7=2,"D","☾"))</f>
        <v>🌗</v>
      </c>
    </row>
    <row r="457" spans="9:10" x14ac:dyDescent="0.2">
      <c r="I457" s="209">
        <v>44238</v>
      </c>
      <c r="J457" s="418" t="str">
        <f>IF(Introduction!$E$7=1,"🌑",IF(Introduction!$E$7=2,"N","⚉"))</f>
        <v>🌑</v>
      </c>
    </row>
    <row r="458" spans="9:10" x14ac:dyDescent="0.2">
      <c r="I458" s="209">
        <v>44246</v>
      </c>
      <c r="J458" s="418" t="str">
        <f>IF(Introduction!$E$7=1,"🌓",IF(Introduction!$E$7=2,"P","☽"))</f>
        <v>🌓</v>
      </c>
    </row>
    <row r="459" spans="9:10" x14ac:dyDescent="0.2">
      <c r="I459" s="209">
        <v>44254</v>
      </c>
      <c r="J459" s="418" t="str">
        <f>IF(Introduction!$E$7=1,"🌕",IF(Introduction!$E$7=2,"O","⚇"))</f>
        <v>🌕</v>
      </c>
    </row>
    <row r="460" spans="9:10" x14ac:dyDescent="0.2">
      <c r="I460" s="209">
        <v>44261</v>
      </c>
      <c r="J460" s="418" t="str">
        <f>IF(Introduction!$E$7=1,"🌗",IF(Introduction!$E$7=2,"D","☾"))</f>
        <v>🌗</v>
      </c>
    </row>
    <row r="461" spans="9:10" x14ac:dyDescent="0.2">
      <c r="I461" s="209">
        <v>44268</v>
      </c>
      <c r="J461" s="418" t="str">
        <f>IF(Introduction!$E$7=1,"🌑",IF(Introduction!$E$7=2,"N","⚉"))</f>
        <v>🌑</v>
      </c>
    </row>
    <row r="462" spans="9:10" x14ac:dyDescent="0.2">
      <c r="I462" s="209">
        <v>44276</v>
      </c>
      <c r="J462" s="418" t="str">
        <f>IF(Introduction!$E$7=1,"🌓",IF(Introduction!$E$7=2,"P","☽"))</f>
        <v>🌓</v>
      </c>
    </row>
    <row r="463" spans="9:10" x14ac:dyDescent="0.2">
      <c r="I463" s="209">
        <v>44283</v>
      </c>
      <c r="J463" s="418" t="str">
        <f>IF(Introduction!$E$7=1,"🌕",IF(Introduction!$E$7=2,"O","⚇"))</f>
        <v>🌕</v>
      </c>
    </row>
    <row r="464" spans="9:10" x14ac:dyDescent="0.2">
      <c r="I464" s="209">
        <v>44290</v>
      </c>
      <c r="J464" s="418" t="str">
        <f>IF(Introduction!$E$7=1,"🌗",IF(Introduction!$E$7=2,"D","☾"))</f>
        <v>🌗</v>
      </c>
    </row>
    <row r="465" spans="9:10" x14ac:dyDescent="0.2">
      <c r="I465" s="209">
        <v>44298</v>
      </c>
      <c r="J465" s="418" t="str">
        <f>IF(Introduction!$E$7=1,"🌑",IF(Introduction!$E$7=2,"N","⚉"))</f>
        <v>🌑</v>
      </c>
    </row>
    <row r="466" spans="9:10" x14ac:dyDescent="0.2">
      <c r="I466" s="209">
        <v>44306</v>
      </c>
      <c r="J466" s="418" t="str">
        <f>IF(Introduction!$E$7=1,"🌓",IF(Introduction!$E$7=2,"P","☽"))</f>
        <v>🌓</v>
      </c>
    </row>
    <row r="467" spans="9:10" x14ac:dyDescent="0.2">
      <c r="I467" s="209">
        <v>44313</v>
      </c>
      <c r="J467" s="418" t="str">
        <f>IF(Introduction!$E$7=1,"🌕",IF(Introduction!$E$7=2,"O","⚇"))</f>
        <v>🌕</v>
      </c>
    </row>
    <row r="468" spans="9:10" x14ac:dyDescent="0.2">
      <c r="I468" s="209">
        <v>44319</v>
      </c>
      <c r="J468" s="418" t="str">
        <f>IF(Introduction!$E$7=1,"🌗",IF(Introduction!$E$7=2,"D","☾"))</f>
        <v>🌗</v>
      </c>
    </row>
    <row r="469" spans="9:10" x14ac:dyDescent="0.2">
      <c r="I469" s="209">
        <v>44327</v>
      </c>
      <c r="J469" s="418" t="str">
        <f>IF(Introduction!$E$7=1,"🌑",IF(Introduction!$E$7=2,"N","⚉"))</f>
        <v>🌑</v>
      </c>
    </row>
    <row r="470" spans="9:10" x14ac:dyDescent="0.2">
      <c r="I470" s="209">
        <v>44335</v>
      </c>
      <c r="J470" s="418" t="str">
        <f>IF(Introduction!$E$7=1,"🌓",IF(Introduction!$E$7=2,"P","☽"))</f>
        <v>🌓</v>
      </c>
    </row>
    <row r="471" spans="9:10" x14ac:dyDescent="0.2">
      <c r="I471" s="209">
        <v>44342</v>
      </c>
      <c r="J471" s="418" t="str">
        <f>IF(Introduction!$E$7=1,"🌕",IF(Introduction!$E$7=2,"O","⚇"))</f>
        <v>🌕</v>
      </c>
    </row>
    <row r="472" spans="9:10" x14ac:dyDescent="0.2">
      <c r="I472" s="209">
        <v>44349</v>
      </c>
      <c r="J472" s="418" t="str">
        <f>IF(Introduction!$E$7=1,"🌗",IF(Introduction!$E$7=2,"D","☾"))</f>
        <v>🌗</v>
      </c>
    </row>
    <row r="473" spans="9:10" x14ac:dyDescent="0.2">
      <c r="I473" s="209">
        <v>44357</v>
      </c>
      <c r="J473" s="418" t="str">
        <f>IF(Introduction!$E$7=1,"🌑",IF(Introduction!$E$7=2,"N","⚉"))</f>
        <v>🌑</v>
      </c>
    </row>
    <row r="474" spans="9:10" x14ac:dyDescent="0.2">
      <c r="I474" s="209">
        <v>44365</v>
      </c>
      <c r="J474" s="418" t="str">
        <f>IF(Introduction!$E$7=1,"🌓",IF(Introduction!$E$7=2,"P","☽"))</f>
        <v>🌓</v>
      </c>
    </row>
    <row r="475" spans="9:10" x14ac:dyDescent="0.2">
      <c r="I475" s="209">
        <v>44371</v>
      </c>
      <c r="J475" s="418" t="str">
        <f>IF(Introduction!$E$7=1,"🌕",IF(Introduction!$E$7=2,"O","⚇"))</f>
        <v>🌕</v>
      </c>
    </row>
    <row r="476" spans="9:10" x14ac:dyDescent="0.2">
      <c r="I476" s="209">
        <v>44378</v>
      </c>
      <c r="J476" s="418" t="str">
        <f>IF(Introduction!$E$7=1,"🌗",IF(Introduction!$E$7=2,"D","☾"))</f>
        <v>🌗</v>
      </c>
    </row>
    <row r="477" spans="9:10" x14ac:dyDescent="0.2">
      <c r="I477" s="209">
        <v>44387</v>
      </c>
      <c r="J477" s="418" t="str">
        <f>IF(Introduction!$E$7=1,"🌑",IF(Introduction!$E$7=2,"N","⚉"))</f>
        <v>🌑</v>
      </c>
    </row>
    <row r="478" spans="9:10" x14ac:dyDescent="0.2">
      <c r="I478" s="209">
        <v>44394</v>
      </c>
      <c r="J478" s="418" t="str">
        <f>IF(Introduction!$E$7=1,"🌓",IF(Introduction!$E$7=2,"P","☽"))</f>
        <v>🌓</v>
      </c>
    </row>
    <row r="479" spans="9:10" x14ac:dyDescent="0.2">
      <c r="I479" s="209">
        <v>44401</v>
      </c>
      <c r="J479" s="418" t="str">
        <f>IF(Introduction!$E$7=1,"🌕",IF(Introduction!$E$7=2,"O","⚇"))</f>
        <v>🌕</v>
      </c>
    </row>
    <row r="480" spans="9:10" x14ac:dyDescent="0.2">
      <c r="I480" s="209">
        <v>44408</v>
      </c>
      <c r="J480" s="418" t="str">
        <f>IF(Introduction!$E$7=1,"🌗",IF(Introduction!$E$7=2,"D","☾"))</f>
        <v>🌗</v>
      </c>
    </row>
    <row r="481" spans="9:10" x14ac:dyDescent="0.2">
      <c r="I481" s="209">
        <v>44416</v>
      </c>
      <c r="J481" s="418" t="str">
        <f>IF(Introduction!$E$7=1,"🌑",IF(Introduction!$E$7=2,"N","⚉"))</f>
        <v>🌑</v>
      </c>
    </row>
    <row r="482" spans="9:10" x14ac:dyDescent="0.2">
      <c r="I482" s="209">
        <v>44423</v>
      </c>
      <c r="J482" s="418" t="str">
        <f>IF(Introduction!$E$7=1,"🌓",IF(Introduction!$E$7=2,"P","☽"))</f>
        <v>🌓</v>
      </c>
    </row>
    <row r="483" spans="9:10" x14ac:dyDescent="0.2">
      <c r="I483" s="209">
        <v>44430</v>
      </c>
      <c r="J483" s="418" t="str">
        <f>IF(Introduction!$E$7=1,"🌕",IF(Introduction!$E$7=2,"O","⚇"))</f>
        <v>🌕</v>
      </c>
    </row>
    <row r="484" spans="9:10" x14ac:dyDescent="0.2">
      <c r="I484" s="209">
        <v>44438</v>
      </c>
      <c r="J484" s="418" t="str">
        <f>IF(Introduction!$E$7=1,"🌗",IF(Introduction!$E$7=2,"D","☾"))</f>
        <v>🌗</v>
      </c>
    </row>
    <row r="485" spans="9:10" x14ac:dyDescent="0.2">
      <c r="I485" s="209">
        <v>44446</v>
      </c>
      <c r="J485" s="418" t="str">
        <f>IF(Introduction!$E$7=1,"🌑",IF(Introduction!$E$7=2,"N","⚉"))</f>
        <v>🌑</v>
      </c>
    </row>
    <row r="486" spans="9:10" x14ac:dyDescent="0.2">
      <c r="I486" s="209">
        <v>44452</v>
      </c>
      <c r="J486" s="418" t="str">
        <f>IF(Introduction!$E$7=1,"🌓",IF(Introduction!$E$7=2,"P","☽"))</f>
        <v>🌓</v>
      </c>
    </row>
    <row r="487" spans="9:10" x14ac:dyDescent="0.2">
      <c r="I487" s="209">
        <v>44459</v>
      </c>
      <c r="J487" s="418" t="str">
        <f>IF(Introduction!$E$7=1,"🌕",IF(Introduction!$E$7=2,"O","⚇"))</f>
        <v>🌕</v>
      </c>
    </row>
    <row r="488" spans="9:10" x14ac:dyDescent="0.2">
      <c r="I488" s="209">
        <v>44468</v>
      </c>
      <c r="J488" s="418" t="str">
        <f>IF(Introduction!$E$7=1,"🌗",IF(Introduction!$E$7=2,"D","☾"))</f>
        <v>🌗</v>
      </c>
    </row>
    <row r="489" spans="9:10" x14ac:dyDescent="0.2">
      <c r="I489" s="209">
        <v>44475</v>
      </c>
      <c r="J489" s="418" t="str">
        <f>IF(Introduction!$E$7=1,"🌑",IF(Introduction!$E$7=2,"N","⚉"))</f>
        <v>🌑</v>
      </c>
    </row>
    <row r="490" spans="9:10" x14ac:dyDescent="0.2">
      <c r="I490" s="209">
        <v>44482</v>
      </c>
      <c r="J490" s="418" t="str">
        <f>IF(Introduction!$E$7=1,"🌓",IF(Introduction!$E$7=2,"P","☽"))</f>
        <v>🌓</v>
      </c>
    </row>
    <row r="491" spans="9:10" x14ac:dyDescent="0.2">
      <c r="I491" s="209">
        <v>44489</v>
      </c>
      <c r="J491" s="418" t="str">
        <f>IF(Introduction!$E$7=1,"🌕",IF(Introduction!$E$7=2,"O","⚇"))</f>
        <v>🌕</v>
      </c>
    </row>
    <row r="492" spans="9:10" x14ac:dyDescent="0.2">
      <c r="I492" s="209">
        <v>44497</v>
      </c>
      <c r="J492" s="418" t="str">
        <f>IF(Introduction!$E$7=1,"🌗",IF(Introduction!$E$7=2,"D","☾"))</f>
        <v>🌗</v>
      </c>
    </row>
    <row r="493" spans="9:10" x14ac:dyDescent="0.2">
      <c r="I493" s="209">
        <v>44504</v>
      </c>
      <c r="J493" s="418" t="str">
        <f>IF(Introduction!$E$7=1,"🌑",IF(Introduction!$E$7=2,"N","⚉"))</f>
        <v>🌑</v>
      </c>
    </row>
    <row r="494" spans="9:10" x14ac:dyDescent="0.2">
      <c r="I494" s="209">
        <v>44511</v>
      </c>
      <c r="J494" s="418" t="str">
        <f>IF(Introduction!$E$7=1,"🌓",IF(Introduction!$E$7=2,"P","☽"))</f>
        <v>🌓</v>
      </c>
    </row>
    <row r="495" spans="9:10" x14ac:dyDescent="0.2">
      <c r="I495" s="209">
        <v>44519</v>
      </c>
      <c r="J495" s="418" t="str">
        <f>IF(Introduction!$E$7=1,"🌕",IF(Introduction!$E$7=2,"O","⚇"))</f>
        <v>🌕</v>
      </c>
    </row>
    <row r="496" spans="9:10" x14ac:dyDescent="0.2">
      <c r="I496" s="209">
        <v>44527</v>
      </c>
      <c r="J496" s="418" t="str">
        <f>IF(Introduction!$E$7=1,"🌗",IF(Introduction!$E$7=2,"D","☾"))</f>
        <v>🌗</v>
      </c>
    </row>
    <row r="497" spans="9:10" x14ac:dyDescent="0.2">
      <c r="I497" s="209">
        <v>44534</v>
      </c>
      <c r="J497" s="418" t="str">
        <f>IF(Introduction!$E$7=1,"🌑",IF(Introduction!$E$7=2,"N","⚉"))</f>
        <v>🌑</v>
      </c>
    </row>
    <row r="498" spans="9:10" x14ac:dyDescent="0.2">
      <c r="I498" s="209">
        <v>44541</v>
      </c>
      <c r="J498" s="418" t="str">
        <f>IF(Introduction!$E$7=1,"🌓",IF(Introduction!$E$7=2,"P","☽"))</f>
        <v>🌓</v>
      </c>
    </row>
    <row r="499" spans="9:10" x14ac:dyDescent="0.2">
      <c r="I499" s="209">
        <v>44549</v>
      </c>
      <c r="J499" s="418" t="str">
        <f>IF(Introduction!$E$7=1,"🌕",IF(Introduction!$E$7=2,"O","⚇"))</f>
        <v>🌕</v>
      </c>
    </row>
    <row r="500" spans="9:10" x14ac:dyDescent="0.2">
      <c r="I500" s="209">
        <v>44557</v>
      </c>
      <c r="J500" s="418" t="str">
        <f>IF(Introduction!$E$7=1,"🌗",IF(Introduction!$E$7=2,"D","☾"))</f>
        <v>🌗</v>
      </c>
    </row>
    <row r="501" spans="9:10" x14ac:dyDescent="0.2">
      <c r="I501" s="209">
        <v>44563</v>
      </c>
      <c r="J501" s="418" t="str">
        <f>IF(Introduction!$E$7=1,"🌑",IF(Introduction!$E$7=2,"N","⚉"))</f>
        <v>🌑</v>
      </c>
    </row>
    <row r="502" spans="9:10" x14ac:dyDescent="0.2">
      <c r="I502" s="209">
        <v>44570</v>
      </c>
      <c r="J502" s="418" t="str">
        <f>IF(Introduction!$E$7=1,"🌓",IF(Introduction!$E$7=2,"P","☽"))</f>
        <v>🌓</v>
      </c>
    </row>
    <row r="503" spans="9:10" x14ac:dyDescent="0.2">
      <c r="I503" s="209">
        <v>44578</v>
      </c>
      <c r="J503" s="418" t="str">
        <f>IF(Introduction!$E$7=1,"🌕",IF(Introduction!$E$7=2,"O","⚇"))</f>
        <v>🌕</v>
      </c>
    </row>
    <row r="504" spans="9:10" x14ac:dyDescent="0.2">
      <c r="I504" s="209">
        <v>44586</v>
      </c>
      <c r="J504" s="418" t="str">
        <f>IF(Introduction!$E$7=1,"🌗",IF(Introduction!$E$7=2,"D","☾"))</f>
        <v>🌗</v>
      </c>
    </row>
    <row r="505" spans="9:10" x14ac:dyDescent="0.2">
      <c r="I505" s="209">
        <v>44593</v>
      </c>
      <c r="J505" s="418" t="str">
        <f>IF(Introduction!$E$7=1,"🌑",IF(Introduction!$E$7=2,"N","⚉"))</f>
        <v>🌑</v>
      </c>
    </row>
    <row r="506" spans="9:10" x14ac:dyDescent="0.2">
      <c r="I506" s="209">
        <v>44600</v>
      </c>
      <c r="J506" s="418" t="str">
        <f>IF(Introduction!$E$7=1,"🌓",IF(Introduction!$E$7=2,"P","☽"))</f>
        <v>🌓</v>
      </c>
    </row>
    <row r="507" spans="9:10" x14ac:dyDescent="0.2">
      <c r="I507" s="209">
        <v>44608</v>
      </c>
      <c r="J507" s="418" t="str">
        <f>IF(Introduction!$E$7=1,"🌕",IF(Introduction!$E$7=2,"O","⚇"))</f>
        <v>🌕</v>
      </c>
    </row>
    <row r="508" spans="9:10" x14ac:dyDescent="0.2">
      <c r="I508" s="209">
        <v>44615</v>
      </c>
      <c r="J508" s="418" t="str">
        <f>IF(Introduction!$E$7=1,"🌗",IF(Introduction!$E$7=2,"D","☾"))</f>
        <v>🌗</v>
      </c>
    </row>
    <row r="509" spans="9:10" x14ac:dyDescent="0.2">
      <c r="I509" s="209">
        <v>44622</v>
      </c>
      <c r="J509" s="418" t="str">
        <f>IF(Introduction!$E$7=1,"🌑",IF(Introduction!$E$7=2,"N","⚉"))</f>
        <v>🌑</v>
      </c>
    </row>
    <row r="510" spans="9:10" x14ac:dyDescent="0.2">
      <c r="I510" s="209">
        <v>44630</v>
      </c>
      <c r="J510" s="418" t="str">
        <f>IF(Introduction!$E$7=1,"🌓",IF(Introduction!$E$7=2,"P","☽"))</f>
        <v>🌓</v>
      </c>
    </row>
    <row r="511" spans="9:10" x14ac:dyDescent="0.2">
      <c r="I511" s="209">
        <v>44638</v>
      </c>
      <c r="J511" s="418" t="str">
        <f>IF(Introduction!$E$7=1,"🌕",IF(Introduction!$E$7=2,"O","⚇"))</f>
        <v>🌕</v>
      </c>
    </row>
    <row r="512" spans="9:10" x14ac:dyDescent="0.2">
      <c r="I512" s="209">
        <v>44645</v>
      </c>
      <c r="J512" s="418" t="str">
        <f>IF(Introduction!$E$7=1,"🌗",IF(Introduction!$E$7=2,"D","☾"))</f>
        <v>🌗</v>
      </c>
    </row>
    <row r="513" spans="9:10" x14ac:dyDescent="0.2">
      <c r="I513" s="209">
        <v>44652</v>
      </c>
      <c r="J513" s="418" t="str">
        <f>IF(Introduction!$E$7=1,"🌑",IF(Introduction!$E$7=2,"N","⚉"))</f>
        <v>🌑</v>
      </c>
    </row>
    <row r="514" spans="9:10" x14ac:dyDescent="0.2">
      <c r="I514" s="209">
        <v>44660</v>
      </c>
      <c r="J514" s="418" t="str">
        <f>IF(Introduction!$E$7=1,"🌓",IF(Introduction!$E$7=2,"P","☽"))</f>
        <v>🌓</v>
      </c>
    </row>
    <row r="515" spans="9:10" x14ac:dyDescent="0.2">
      <c r="I515" s="209">
        <v>44667</v>
      </c>
      <c r="J515" s="418" t="str">
        <f>IF(Introduction!$E$7=1,"🌕",IF(Introduction!$E$7=2,"O","⚇"))</f>
        <v>🌕</v>
      </c>
    </row>
    <row r="516" spans="9:10" x14ac:dyDescent="0.2">
      <c r="I516" s="209">
        <v>44674</v>
      </c>
      <c r="J516" s="418" t="str">
        <f>IF(Introduction!$E$7=1,"🌗",IF(Introduction!$E$7=2,"D","☾"))</f>
        <v>🌗</v>
      </c>
    </row>
    <row r="517" spans="9:10" x14ac:dyDescent="0.2">
      <c r="I517" s="209">
        <v>44681</v>
      </c>
      <c r="J517" s="418" t="str">
        <f>IF(Introduction!$E$7=1,"🌑",IF(Introduction!$E$7=2,"N","⚉"))</f>
        <v>🌑</v>
      </c>
    </row>
    <row r="518" spans="9:10" x14ac:dyDescent="0.2">
      <c r="I518" s="209">
        <v>44690</v>
      </c>
      <c r="J518" s="418" t="str">
        <f>IF(Introduction!$E$7=1,"🌓",IF(Introduction!$E$7=2,"P","☽"))</f>
        <v>🌓</v>
      </c>
    </row>
    <row r="519" spans="9:10" x14ac:dyDescent="0.2">
      <c r="I519" s="209">
        <v>44697</v>
      </c>
      <c r="J519" s="418" t="str">
        <f>IF(Introduction!$E$7=1,"🌕",IF(Introduction!$E$7=2,"O","⚇"))</f>
        <v>🌕</v>
      </c>
    </row>
    <row r="520" spans="9:10" x14ac:dyDescent="0.2">
      <c r="I520" s="209">
        <v>44703</v>
      </c>
      <c r="J520" s="418" t="str">
        <f>IF(Introduction!$E$7=1,"🌗",IF(Introduction!$E$7=2,"D","☾"))</f>
        <v>🌗</v>
      </c>
    </row>
    <row r="521" spans="9:10" x14ac:dyDescent="0.2">
      <c r="I521" s="209">
        <v>44711</v>
      </c>
      <c r="J521" s="418" t="str">
        <f>IF(Introduction!$E$7=1,"🌑",IF(Introduction!$E$7=2,"N","⚉"))</f>
        <v>🌑</v>
      </c>
    </row>
    <row r="522" spans="9:10" x14ac:dyDescent="0.2">
      <c r="I522" s="209">
        <v>44719</v>
      </c>
      <c r="J522" s="418" t="str">
        <f>IF(Introduction!$E$7=1,"🌓",IF(Introduction!$E$7=2,"P","☽"))</f>
        <v>🌓</v>
      </c>
    </row>
    <row r="523" spans="9:10" x14ac:dyDescent="0.2">
      <c r="I523" s="209">
        <v>44726</v>
      </c>
      <c r="J523" s="418" t="str">
        <f>IF(Introduction!$E$7=1,"🌕",IF(Introduction!$E$7=2,"O","⚇"))</f>
        <v>🌕</v>
      </c>
    </row>
    <row r="524" spans="9:10" x14ac:dyDescent="0.2">
      <c r="I524" s="209">
        <v>44733</v>
      </c>
      <c r="J524" s="418" t="str">
        <f>IF(Introduction!$E$7=1,"🌗",IF(Introduction!$E$7=2,"D","☾"))</f>
        <v>🌗</v>
      </c>
    </row>
    <row r="525" spans="9:10" x14ac:dyDescent="0.2">
      <c r="I525" s="209">
        <v>44741</v>
      </c>
      <c r="J525" s="418" t="str">
        <f>IF(Introduction!$E$7=1,"🌑",IF(Introduction!$E$7=2,"N","⚉"))</f>
        <v>🌑</v>
      </c>
    </row>
    <row r="526" spans="9:10" x14ac:dyDescent="0.2">
      <c r="I526" s="209">
        <v>44749</v>
      </c>
      <c r="J526" s="418" t="str">
        <f>IF(Introduction!$E$7=1,"🌓",IF(Introduction!$E$7=2,"P","☽"))</f>
        <v>🌓</v>
      </c>
    </row>
    <row r="527" spans="9:10" x14ac:dyDescent="0.2">
      <c r="I527" s="209">
        <v>44755</v>
      </c>
      <c r="J527" s="418" t="str">
        <f>IF(Introduction!$E$7=1,"🌕",IF(Introduction!$E$7=2,"O","⚇"))</f>
        <v>🌕</v>
      </c>
    </row>
    <row r="528" spans="9:10" x14ac:dyDescent="0.2">
      <c r="I528" s="209">
        <v>44762</v>
      </c>
      <c r="J528" s="418" t="str">
        <f>IF(Introduction!$E$7=1,"🌗",IF(Introduction!$E$7=2,"D","☾"))</f>
        <v>🌗</v>
      </c>
    </row>
    <row r="529" spans="9:10" x14ac:dyDescent="0.2">
      <c r="I529" s="209">
        <v>44770</v>
      </c>
      <c r="J529" s="418" t="str">
        <f>IF(Introduction!$E$7=1,"🌑",IF(Introduction!$E$7=2,"N","⚉"))</f>
        <v>🌑</v>
      </c>
    </row>
    <row r="530" spans="9:10" x14ac:dyDescent="0.2">
      <c r="I530" s="209">
        <v>44778</v>
      </c>
      <c r="J530" s="418" t="str">
        <f>IF(Introduction!$E$7=1,"🌓",IF(Introduction!$E$7=2,"P","☽"))</f>
        <v>🌓</v>
      </c>
    </row>
    <row r="531" spans="9:10" x14ac:dyDescent="0.2">
      <c r="I531" s="209">
        <v>44785</v>
      </c>
      <c r="J531" s="418" t="str">
        <f>IF(Introduction!$E$7=1,"🌕",IF(Introduction!$E$7=2,"O","⚇"))</f>
        <v>🌕</v>
      </c>
    </row>
    <row r="532" spans="9:10" x14ac:dyDescent="0.2">
      <c r="I532" s="209">
        <v>44792</v>
      </c>
      <c r="J532" s="418" t="str">
        <f>IF(Introduction!$E$7=1,"🌗",IF(Introduction!$E$7=2,"D","☾"))</f>
        <v>🌗</v>
      </c>
    </row>
    <row r="533" spans="9:10" x14ac:dyDescent="0.2">
      <c r="I533" s="209">
        <v>44800</v>
      </c>
      <c r="J533" s="418" t="str">
        <f>IF(Introduction!$E$7=1,"🌑",IF(Introduction!$E$7=2,"N","⚉"))</f>
        <v>🌑</v>
      </c>
    </row>
    <row r="534" spans="9:10" x14ac:dyDescent="0.2">
      <c r="I534" s="209">
        <v>44807</v>
      </c>
      <c r="J534" s="418" t="str">
        <f>IF(Introduction!$E$7=1,"🌓",IF(Introduction!$E$7=2,"P","☽"))</f>
        <v>🌓</v>
      </c>
    </row>
    <row r="535" spans="9:10" x14ac:dyDescent="0.2">
      <c r="I535" s="209">
        <v>44814</v>
      </c>
      <c r="J535" s="418" t="str">
        <f>IF(Introduction!$E$7=1,"🌕",IF(Introduction!$E$7=2,"O","⚇"))</f>
        <v>🌕</v>
      </c>
    </row>
    <row r="536" spans="9:10" x14ac:dyDescent="0.2">
      <c r="I536" s="209">
        <v>44821</v>
      </c>
      <c r="J536" s="418" t="str">
        <f>IF(Introduction!$E$7=1,"🌗",IF(Introduction!$E$7=2,"D","☾"))</f>
        <v>🌗</v>
      </c>
    </row>
    <row r="537" spans="9:10" x14ac:dyDescent="0.2">
      <c r="I537" s="209">
        <v>44829</v>
      </c>
      <c r="J537" s="418" t="str">
        <f>IF(Introduction!$E$7=1,"🌑",IF(Introduction!$E$7=2,"N","⚉"))</f>
        <v>🌑</v>
      </c>
    </row>
    <row r="538" spans="9:10" x14ac:dyDescent="0.2">
      <c r="I538" s="209">
        <v>44837</v>
      </c>
      <c r="J538" s="418" t="str">
        <f>IF(Introduction!$E$7=1,"🌓",IF(Introduction!$E$7=2,"P","☽"))</f>
        <v>🌓</v>
      </c>
    </row>
    <row r="539" spans="9:10" x14ac:dyDescent="0.2">
      <c r="I539" s="209">
        <v>44843</v>
      </c>
      <c r="J539" s="418" t="str">
        <f>IF(Introduction!$E$7=1,"🌕",IF(Introduction!$E$7=2,"O","⚇"))</f>
        <v>🌕</v>
      </c>
    </row>
    <row r="540" spans="9:10" x14ac:dyDescent="0.2">
      <c r="I540" s="209">
        <v>44851</v>
      </c>
      <c r="J540" s="418" t="str">
        <f>IF(Introduction!$E$7=1,"🌗",IF(Introduction!$E$7=2,"D","☾"))</f>
        <v>🌗</v>
      </c>
    </row>
    <row r="541" spans="9:10" x14ac:dyDescent="0.2">
      <c r="I541" s="209">
        <v>44859</v>
      </c>
      <c r="J541" s="418" t="str">
        <f>IF(Introduction!$E$7=1,"🌑",IF(Introduction!$E$7=2,"N","⚉"))</f>
        <v>🌑</v>
      </c>
    </row>
    <row r="542" spans="9:10" x14ac:dyDescent="0.2">
      <c r="I542" s="209">
        <v>44866</v>
      </c>
      <c r="J542" s="418" t="str">
        <f>IF(Introduction!$E$7=1,"🌓",IF(Introduction!$E$7=2,"P","☽"))</f>
        <v>🌓</v>
      </c>
    </row>
    <row r="543" spans="9:10" x14ac:dyDescent="0.2">
      <c r="I543" s="209">
        <v>44873</v>
      </c>
      <c r="J543" s="418" t="str">
        <f>IF(Introduction!$E$7=1,"🌕",IF(Introduction!$E$7=2,"O","⚇"))</f>
        <v>🌕</v>
      </c>
    </row>
    <row r="544" spans="9:10" x14ac:dyDescent="0.2">
      <c r="I544" s="209">
        <v>44881</v>
      </c>
      <c r="J544" s="418" t="str">
        <f>IF(Introduction!$E$7=1,"🌗",IF(Introduction!$E$7=2,"D","☾"))</f>
        <v>🌗</v>
      </c>
    </row>
    <row r="545" spans="9:10" x14ac:dyDescent="0.2">
      <c r="I545" s="209">
        <v>44888</v>
      </c>
      <c r="J545" s="418" t="str">
        <f>IF(Introduction!$E$7=1,"🌑",IF(Introduction!$E$7=2,"N","⚉"))</f>
        <v>🌑</v>
      </c>
    </row>
    <row r="546" spans="9:10" x14ac:dyDescent="0.2">
      <c r="I546" s="209">
        <v>44895</v>
      </c>
      <c r="J546" s="418" t="str">
        <f>IF(Introduction!$E$7=1,"🌓",IF(Introduction!$E$7=2,"P","☽"))</f>
        <v>🌓</v>
      </c>
    </row>
    <row r="547" spans="9:10" x14ac:dyDescent="0.2">
      <c r="I547" s="209">
        <v>44903</v>
      </c>
      <c r="J547" s="418" t="str">
        <f>IF(Introduction!$E$7=1,"🌕",IF(Introduction!$E$7=2,"O","⚇"))</f>
        <v>🌕</v>
      </c>
    </row>
    <row r="548" spans="9:10" x14ac:dyDescent="0.2">
      <c r="I548" s="209">
        <v>44911</v>
      </c>
      <c r="J548" s="418" t="str">
        <f>IF(Introduction!$E$7=1,"🌗",IF(Introduction!$E$7=2,"D","☾"))</f>
        <v>🌗</v>
      </c>
    </row>
    <row r="549" spans="9:10" x14ac:dyDescent="0.2">
      <c r="I549" s="209">
        <v>44918</v>
      </c>
      <c r="J549" s="418" t="str">
        <f>IF(Introduction!$E$7=1,"🌑",IF(Introduction!$E$7=2,"N","⚉"))</f>
        <v>🌑</v>
      </c>
    </row>
    <row r="550" spans="9:10" x14ac:dyDescent="0.2">
      <c r="I550" s="209">
        <v>44925</v>
      </c>
      <c r="J550" s="418" t="str">
        <f>IF(Introduction!$E$7=1,"🌓",IF(Introduction!$E$7=2,"P","☽"))</f>
        <v>🌓</v>
      </c>
    </row>
    <row r="551" spans="9:10" x14ac:dyDescent="0.2">
      <c r="I551" s="209">
        <v>44932</v>
      </c>
      <c r="J551" s="418" t="str">
        <f>IF(Introduction!$E$7=1,"🌕",IF(Introduction!$E$7=2,"O","⚇"))</f>
        <v>🌕</v>
      </c>
    </row>
    <row r="552" spans="9:10" x14ac:dyDescent="0.2">
      <c r="I552" s="209">
        <v>44941</v>
      </c>
      <c r="J552" s="418" t="str">
        <f>IF(Introduction!$E$7=1,"🌗",IF(Introduction!$E$7=2,"D","☾"))</f>
        <v>🌗</v>
      </c>
    </row>
    <row r="553" spans="9:10" x14ac:dyDescent="0.2">
      <c r="I553" s="209">
        <v>44947</v>
      </c>
      <c r="J553" s="418" t="str">
        <f>IF(Introduction!$E$7=1,"🌑",IF(Introduction!$E$7=2,"N","⚉"))</f>
        <v>🌑</v>
      </c>
    </row>
    <row r="554" spans="9:10" x14ac:dyDescent="0.2">
      <c r="I554" s="209">
        <v>44954</v>
      </c>
      <c r="J554" s="418" t="str">
        <f>IF(Introduction!$E$7=1,"🌓",IF(Introduction!$E$7=2,"P","☽"))</f>
        <v>🌓</v>
      </c>
    </row>
    <row r="555" spans="9:10" x14ac:dyDescent="0.2">
      <c r="I555" s="209">
        <v>44962</v>
      </c>
      <c r="J555" s="418" t="str">
        <f>IF(Introduction!$E$7=1,"🌕",IF(Introduction!$E$7=2,"O","⚇"))</f>
        <v>🌕</v>
      </c>
    </row>
    <row r="556" spans="9:10" x14ac:dyDescent="0.2">
      <c r="I556" s="209">
        <v>44970</v>
      </c>
      <c r="J556" s="418" t="str">
        <f>IF(Introduction!$E$7=1,"🌗",IF(Introduction!$E$7=2,"D","☾"))</f>
        <v>🌗</v>
      </c>
    </row>
    <row r="557" spans="9:10" x14ac:dyDescent="0.2">
      <c r="I557" s="209">
        <v>44977</v>
      </c>
      <c r="J557" s="418" t="str">
        <f>IF(Introduction!$E$7=1,"🌑",IF(Introduction!$E$7=2,"N","⚉"))</f>
        <v>🌑</v>
      </c>
    </row>
    <row r="558" spans="9:10" x14ac:dyDescent="0.2">
      <c r="I558" s="209">
        <v>44984</v>
      </c>
      <c r="J558" s="418" t="str">
        <f>IF(Introduction!$E$7=1,"🌓",IF(Introduction!$E$7=2,"P","☽"))</f>
        <v>🌓</v>
      </c>
    </row>
    <row r="559" spans="9:10" x14ac:dyDescent="0.2">
      <c r="I559" s="209">
        <v>44992</v>
      </c>
      <c r="J559" s="418" t="str">
        <f>IF(Introduction!$E$7=1,"🌕",IF(Introduction!$E$7=2,"O","⚇"))</f>
        <v>🌕</v>
      </c>
    </row>
    <row r="560" spans="9:10" x14ac:dyDescent="0.2">
      <c r="I560" s="209">
        <v>45000</v>
      </c>
      <c r="J560" s="418" t="str">
        <f>IF(Introduction!$E$7=1,"🌗",IF(Introduction!$E$7=2,"D","☾"))</f>
        <v>🌗</v>
      </c>
    </row>
    <row r="561" spans="9:10" x14ac:dyDescent="0.2">
      <c r="I561" s="209">
        <v>45006</v>
      </c>
      <c r="J561" s="418" t="str">
        <f>IF(Introduction!$E$7=1,"🌑",IF(Introduction!$E$7=2,"N","⚉"))</f>
        <v>🌑</v>
      </c>
    </row>
    <row r="562" spans="9:10" x14ac:dyDescent="0.2">
      <c r="I562" s="209">
        <v>45014</v>
      </c>
      <c r="J562" s="418" t="str">
        <f>IF(Introduction!$E$7=1,"🌓",IF(Introduction!$E$7=2,"P","☽"))</f>
        <v>🌓</v>
      </c>
    </row>
    <row r="563" spans="9:10" x14ac:dyDescent="0.2">
      <c r="I563" s="209">
        <v>45022</v>
      </c>
      <c r="J563" s="418" t="str">
        <f>IF(Introduction!$E$7=1,"🌕",IF(Introduction!$E$7=2,"O","⚇"))</f>
        <v>🌕</v>
      </c>
    </row>
    <row r="564" spans="9:10" x14ac:dyDescent="0.2">
      <c r="I564" s="209">
        <v>45029</v>
      </c>
      <c r="J564" s="418" t="str">
        <f>IF(Introduction!$E$7=1,"🌗",IF(Introduction!$E$7=2,"D","☾"))</f>
        <v>🌗</v>
      </c>
    </row>
    <row r="565" spans="9:10" x14ac:dyDescent="0.2">
      <c r="I565" s="209">
        <v>45036</v>
      </c>
      <c r="J565" s="418" t="str">
        <f>IF(Introduction!$E$7=1,"🌑",IF(Introduction!$E$7=2,"N","⚉"))</f>
        <v>🌑</v>
      </c>
    </row>
    <row r="566" spans="9:10" x14ac:dyDescent="0.2">
      <c r="I566" s="209">
        <v>45043</v>
      </c>
      <c r="J566" s="418" t="str">
        <f>IF(Introduction!$E$7=1,"🌓",IF(Introduction!$E$7=2,"P","☽"))</f>
        <v>🌓</v>
      </c>
    </row>
    <row r="567" spans="9:10" x14ac:dyDescent="0.2">
      <c r="I567" s="209">
        <v>45051</v>
      </c>
      <c r="J567" s="418" t="str">
        <f>IF(Introduction!$E$7=1,"🌕",IF(Introduction!$E$7=2,"O","⚇"))</f>
        <v>🌕</v>
      </c>
    </row>
    <row r="568" spans="9:10" x14ac:dyDescent="0.2">
      <c r="I568" s="209">
        <v>45058</v>
      </c>
      <c r="J568" s="418" t="str">
        <f>IF(Introduction!$E$7=1,"🌗",IF(Introduction!$E$7=2,"D","☾"))</f>
        <v>🌗</v>
      </c>
    </row>
    <row r="569" spans="9:10" x14ac:dyDescent="0.2">
      <c r="I569" s="209">
        <v>45065</v>
      </c>
      <c r="J569" s="418" t="str">
        <f>IF(Introduction!$E$7=1,"🌑",IF(Introduction!$E$7=2,"N","⚉"))</f>
        <v>🌑</v>
      </c>
    </row>
    <row r="570" spans="9:10" x14ac:dyDescent="0.2">
      <c r="I570" s="209">
        <v>45073</v>
      </c>
      <c r="J570" s="418" t="str">
        <f>IF(Introduction!$E$7=1,"🌓",IF(Introduction!$E$7=2,"P","☽"))</f>
        <v>🌓</v>
      </c>
    </row>
    <row r="571" spans="9:10" x14ac:dyDescent="0.2">
      <c r="I571" s="209">
        <v>45081</v>
      </c>
      <c r="J571" s="418" t="str">
        <f>IF(Introduction!$E$7=1,"🌕",IF(Introduction!$E$7=2,"O","⚇"))</f>
        <v>🌕</v>
      </c>
    </row>
    <row r="572" spans="9:10" x14ac:dyDescent="0.2">
      <c r="I572" s="209">
        <v>45087</v>
      </c>
      <c r="J572" s="418" t="str">
        <f>IF(Introduction!$E$7=1,"🌗",IF(Introduction!$E$7=2,"D","☾"))</f>
        <v>🌗</v>
      </c>
    </row>
    <row r="573" spans="9:10" x14ac:dyDescent="0.2">
      <c r="I573" s="209">
        <v>45095</v>
      </c>
      <c r="J573" s="418" t="str">
        <f>IF(Introduction!$E$7=1,"🌑",IF(Introduction!$E$7=2,"N","⚉"))</f>
        <v>🌑</v>
      </c>
    </row>
    <row r="574" spans="9:10" x14ac:dyDescent="0.2">
      <c r="I574" s="209">
        <v>45103</v>
      </c>
      <c r="J574" s="418" t="str">
        <f>IF(Introduction!$E$7=1,"🌓",IF(Introduction!$E$7=2,"P","☽"))</f>
        <v>🌓</v>
      </c>
    </row>
    <row r="575" spans="9:10" x14ac:dyDescent="0.2">
      <c r="I575" s="209">
        <v>45110</v>
      </c>
      <c r="J575" s="418" t="str">
        <f>IF(Introduction!$E$7=1,"🌕",IF(Introduction!$E$7=2,"O","⚇"))</f>
        <v>🌕</v>
      </c>
    </row>
    <row r="576" spans="9:10" x14ac:dyDescent="0.2">
      <c r="I576" s="209">
        <v>45117</v>
      </c>
      <c r="J576" s="418" t="str">
        <f>IF(Introduction!$E$7=1,"🌗",IF(Introduction!$E$7=2,"D","☾"))</f>
        <v>🌗</v>
      </c>
    </row>
    <row r="577" spans="9:10" x14ac:dyDescent="0.2">
      <c r="I577" s="209">
        <v>45124</v>
      </c>
      <c r="J577" s="418" t="str">
        <f>IF(Introduction!$E$7=1,"🌑",IF(Introduction!$E$7=2,"N","⚉"))</f>
        <v>🌑</v>
      </c>
    </row>
    <row r="578" spans="9:10" x14ac:dyDescent="0.2">
      <c r="I578" s="209">
        <v>45132</v>
      </c>
      <c r="J578" s="418" t="str">
        <f>IF(Introduction!$E$7=1,"🌓",IF(Introduction!$E$7=2,"P","☽"))</f>
        <v>🌓</v>
      </c>
    </row>
    <row r="579" spans="9:10" x14ac:dyDescent="0.2">
      <c r="I579" s="209">
        <v>45139</v>
      </c>
      <c r="J579" s="418" t="str">
        <f>IF(Introduction!$E$7=1,"🌕",IF(Introduction!$E$7=2,"O","⚇"))</f>
        <v>🌕</v>
      </c>
    </row>
    <row r="580" spans="9:10" x14ac:dyDescent="0.2">
      <c r="I580" s="209">
        <v>45146</v>
      </c>
      <c r="J580" s="418" t="str">
        <f>IF(Introduction!$E$7=1,"🌗",IF(Introduction!$E$7=2,"D","☾"))</f>
        <v>🌗</v>
      </c>
    </row>
    <row r="581" spans="9:10" x14ac:dyDescent="0.2">
      <c r="I581" s="209">
        <v>45154</v>
      </c>
      <c r="J581" s="418" t="str">
        <f>IF(Introduction!$E$7=1,"🌑",IF(Introduction!$E$7=2,"N","⚉"))</f>
        <v>🌑</v>
      </c>
    </row>
    <row r="582" spans="9:10" x14ac:dyDescent="0.2">
      <c r="I582" s="209">
        <v>45162</v>
      </c>
      <c r="J582" s="418" t="str">
        <f>IF(Introduction!$E$7=1,"🌓",IF(Introduction!$E$7=2,"P","☽"))</f>
        <v>🌓</v>
      </c>
    </row>
    <row r="583" spans="9:10" x14ac:dyDescent="0.2">
      <c r="I583" s="209">
        <v>45169</v>
      </c>
      <c r="J583" s="418" t="str">
        <f>IF(Introduction!$E$7=1,"🌕",IF(Introduction!$E$7=2,"O","⚇"))</f>
        <v>🌕</v>
      </c>
    </row>
    <row r="584" spans="9:10" x14ac:dyDescent="0.2">
      <c r="I584" s="209">
        <v>45175</v>
      </c>
      <c r="J584" s="418" t="str">
        <f>IF(Introduction!$E$7=1,"🌗",IF(Introduction!$E$7=2,"D","☾"))</f>
        <v>🌗</v>
      </c>
    </row>
    <row r="585" spans="9:10" x14ac:dyDescent="0.2">
      <c r="I585" s="209">
        <v>45184</v>
      </c>
      <c r="J585" s="418" t="str">
        <f>IF(Introduction!$E$7=1,"🌑",IF(Introduction!$E$7=2,"N","⚉"))</f>
        <v>🌑</v>
      </c>
    </row>
    <row r="586" spans="9:10" x14ac:dyDescent="0.2">
      <c r="I586" s="209">
        <v>45191</v>
      </c>
      <c r="J586" s="418" t="str">
        <f>IF(Introduction!$E$7=1,"🌓",IF(Introduction!$E$7=2,"P","☽"))</f>
        <v>🌓</v>
      </c>
    </row>
    <row r="587" spans="9:10" x14ac:dyDescent="0.2">
      <c r="I587" s="209">
        <v>45198</v>
      </c>
      <c r="J587" s="418" t="str">
        <f>IF(Introduction!$E$7=1,"🌕",IF(Introduction!$E$7=2,"O","⚇"))</f>
        <v>🌕</v>
      </c>
    </row>
    <row r="588" spans="9:10" x14ac:dyDescent="0.2">
      <c r="I588" s="209">
        <v>45205</v>
      </c>
      <c r="J588" s="418" t="str">
        <f>IF(Introduction!$E$7=1,"🌗",IF(Introduction!$E$7=2,"D","☾"))</f>
        <v>🌗</v>
      </c>
    </row>
    <row r="589" spans="9:10" x14ac:dyDescent="0.2">
      <c r="I589" s="209">
        <v>45213</v>
      </c>
      <c r="J589" s="418" t="str">
        <f>IF(Introduction!$E$7=1,"🌑",IF(Introduction!$E$7=2,"N","⚉"))</f>
        <v>🌑</v>
      </c>
    </row>
    <row r="590" spans="9:10" x14ac:dyDescent="0.2">
      <c r="I590" s="209">
        <v>45221</v>
      </c>
      <c r="J590" s="418" t="str">
        <f>IF(Introduction!$E$7=1,"🌓",IF(Introduction!$E$7=2,"P","☽"))</f>
        <v>🌓</v>
      </c>
    </row>
    <row r="591" spans="9:10" x14ac:dyDescent="0.2">
      <c r="I591" s="209">
        <v>45227</v>
      </c>
      <c r="J591" s="418" t="str">
        <f>IF(Introduction!$E$7=1,"🌕",IF(Introduction!$E$7=2,"O","⚇"))</f>
        <v>🌕</v>
      </c>
    </row>
    <row r="592" spans="9:10" x14ac:dyDescent="0.2">
      <c r="I592" s="209">
        <v>45235</v>
      </c>
      <c r="J592" s="418" t="str">
        <f>IF(Introduction!$E$7=1,"🌗",IF(Introduction!$E$7=2,"D","☾"))</f>
        <v>🌗</v>
      </c>
    </row>
    <row r="593" spans="9:10" x14ac:dyDescent="0.2">
      <c r="I593" s="209">
        <v>45243</v>
      </c>
      <c r="J593" s="418" t="str">
        <f>IF(Introduction!$E$7=1,"🌑",IF(Introduction!$E$7=2,"N","⚉"))</f>
        <v>🌑</v>
      </c>
    </row>
    <row r="594" spans="9:10" x14ac:dyDescent="0.2">
      <c r="I594" s="209">
        <v>45250</v>
      </c>
      <c r="J594" s="418" t="str">
        <f>IF(Introduction!$E$7=1,"🌓",IF(Introduction!$E$7=2,"P","☽"))</f>
        <v>🌓</v>
      </c>
    </row>
    <row r="595" spans="9:10" x14ac:dyDescent="0.2">
      <c r="I595" s="209">
        <v>45257</v>
      </c>
      <c r="J595" s="418" t="str">
        <f>IF(Introduction!$E$7=1,"🌕",IF(Introduction!$E$7=2,"O","⚇"))</f>
        <v>🌕</v>
      </c>
    </row>
    <row r="596" spans="9:10" x14ac:dyDescent="0.2">
      <c r="I596" s="209">
        <v>45265</v>
      </c>
      <c r="J596" s="418" t="str">
        <f>IF(Introduction!$E$7=1,"🌗",IF(Introduction!$E$7=2,"D","☾"))</f>
        <v>🌗</v>
      </c>
    </row>
    <row r="597" spans="9:10" x14ac:dyDescent="0.2">
      <c r="I597" s="209">
        <v>45272</v>
      </c>
      <c r="J597" s="418" t="str">
        <f>IF(Introduction!$E$7=1,"🌑",IF(Introduction!$E$7=2,"N","⚉"))</f>
        <v>🌑</v>
      </c>
    </row>
    <row r="598" spans="9:10" x14ac:dyDescent="0.2">
      <c r="I598" s="209">
        <v>45279</v>
      </c>
      <c r="J598" s="418" t="str">
        <f>IF(Introduction!$E$7=1,"🌓",IF(Introduction!$E$7=2,"P","☽"))</f>
        <v>🌓</v>
      </c>
    </row>
    <row r="599" spans="9:10" x14ac:dyDescent="0.2">
      <c r="I599" s="209">
        <v>45287</v>
      </c>
      <c r="J599" s="418" t="str">
        <f>IF(Introduction!$E$7=1,"🌕",IF(Introduction!$E$7=2,"O","⚇"))</f>
        <v>🌕</v>
      </c>
    </row>
    <row r="600" spans="9:10" x14ac:dyDescent="0.2">
      <c r="I600" s="209">
        <v>45295</v>
      </c>
      <c r="J600" s="418" t="str">
        <f>IF(Introduction!$E$7=1,"🌗",IF(Introduction!$E$7=2,"D","☾"))</f>
        <v>🌗</v>
      </c>
    </row>
    <row r="601" spans="9:10" x14ac:dyDescent="0.2">
      <c r="I601" s="209">
        <v>45302</v>
      </c>
      <c r="J601" s="418" t="str">
        <f>IF(Introduction!$E$7=1,"🌑",IF(Introduction!$E$7=2,"N","⚉"))</f>
        <v>🌑</v>
      </c>
    </row>
    <row r="602" spans="9:10" x14ac:dyDescent="0.2">
      <c r="I602" s="209">
        <v>45309</v>
      </c>
      <c r="J602" s="418" t="str">
        <f>IF(Introduction!$E$7=1,"🌓",IF(Introduction!$E$7=2,"P","☽"))</f>
        <v>🌓</v>
      </c>
    </row>
    <row r="603" spans="9:10" x14ac:dyDescent="0.2">
      <c r="I603" s="209">
        <v>45316</v>
      </c>
      <c r="J603" s="418" t="str">
        <f>IF(Introduction!$E$7=1,"🌕",IF(Introduction!$E$7=2,"O","⚇"))</f>
        <v>🌕</v>
      </c>
    </row>
    <row r="604" spans="9:10" x14ac:dyDescent="0.2">
      <c r="I604" s="209">
        <v>45324</v>
      </c>
      <c r="J604" s="418" t="str">
        <f>IF(Introduction!$E$7=1,"🌗",IF(Introduction!$E$7=2,"D","☾"))</f>
        <v>🌗</v>
      </c>
    </row>
    <row r="605" spans="9:10" x14ac:dyDescent="0.2">
      <c r="I605" s="209">
        <v>45331</v>
      </c>
      <c r="J605" s="418" t="str">
        <f>IF(Introduction!$E$7=1,"🌑",IF(Introduction!$E$7=2,"N","⚉"))</f>
        <v>🌑</v>
      </c>
    </row>
    <row r="606" spans="9:10" x14ac:dyDescent="0.2">
      <c r="I606" s="209">
        <v>45338</v>
      </c>
      <c r="J606" s="418" t="str">
        <f>IF(Introduction!$E$7=1,"🌓",IF(Introduction!$E$7=2,"P","☽"))</f>
        <v>🌓</v>
      </c>
    </row>
    <row r="607" spans="9:10" x14ac:dyDescent="0.2">
      <c r="I607" s="209">
        <v>45346</v>
      </c>
      <c r="J607" s="418" t="str">
        <f>IF(Introduction!$E$7=1,"🌕",IF(Introduction!$E$7=2,"O","⚇"))</f>
        <v>🌕</v>
      </c>
    </row>
    <row r="608" spans="9:10" x14ac:dyDescent="0.2">
      <c r="I608" s="209">
        <v>45354</v>
      </c>
      <c r="J608" s="418" t="str">
        <f>IF(Introduction!$E$7=1,"🌗",IF(Introduction!$E$7=2,"D","☾"))</f>
        <v>🌗</v>
      </c>
    </row>
    <row r="609" spans="9:10" x14ac:dyDescent="0.2">
      <c r="I609" s="209">
        <v>45361</v>
      </c>
      <c r="J609" s="418" t="str">
        <f>IF(Introduction!$E$7=1,"🌑",IF(Introduction!$E$7=2,"N","⚉"))</f>
        <v>🌑</v>
      </c>
    </row>
    <row r="610" spans="9:10" x14ac:dyDescent="0.2">
      <c r="I610" s="209">
        <v>45368</v>
      </c>
      <c r="J610" s="418" t="str">
        <f>IF(Introduction!$E$7=1,"🌓",IF(Introduction!$E$7=2,"P","☽"))</f>
        <v>🌓</v>
      </c>
    </row>
    <row r="611" spans="9:10" x14ac:dyDescent="0.2">
      <c r="I611" s="209">
        <v>45376</v>
      </c>
      <c r="J611" s="418" t="str">
        <f>IF(Introduction!$E$7=1,"🌕",IF(Introduction!$E$7=2,"O","⚇"))</f>
        <v>🌕</v>
      </c>
    </row>
    <row r="612" spans="9:10" x14ac:dyDescent="0.2">
      <c r="I612" s="209">
        <v>45384</v>
      </c>
      <c r="J612" s="418" t="str">
        <f>IF(Introduction!$E$7=1,"🌗",IF(Introduction!$E$7=2,"D","☾"))</f>
        <v>🌗</v>
      </c>
    </row>
    <row r="613" spans="9:10" x14ac:dyDescent="0.2">
      <c r="I613" s="209">
        <v>45390</v>
      </c>
      <c r="J613" s="418" t="str">
        <f>IF(Introduction!$E$7=1,"🌑",IF(Introduction!$E$7=2,"N","⚉"))</f>
        <v>🌑</v>
      </c>
    </row>
    <row r="614" spans="9:10" x14ac:dyDescent="0.2">
      <c r="I614" s="209">
        <v>45397</v>
      </c>
      <c r="J614" s="418" t="str">
        <f>IF(Introduction!$E$7=1,"🌓",IF(Introduction!$E$7=2,"P","☽"))</f>
        <v>🌓</v>
      </c>
    </row>
    <row r="615" spans="9:10" x14ac:dyDescent="0.2">
      <c r="I615" s="209">
        <v>45405</v>
      </c>
      <c r="J615" s="418" t="str">
        <f>IF(Introduction!$E$7=1,"🌕",IF(Introduction!$E$7=2,"O","⚇"))</f>
        <v>🌕</v>
      </c>
    </row>
    <row r="616" spans="9:10" x14ac:dyDescent="0.2">
      <c r="I616" s="209">
        <v>45413</v>
      </c>
      <c r="J616" s="418" t="str">
        <f>IF(Introduction!$E$7=1,"🌗",IF(Introduction!$E$7=2,"D","☾"))</f>
        <v>🌗</v>
      </c>
    </row>
    <row r="617" spans="9:10" x14ac:dyDescent="0.2">
      <c r="I617" s="209">
        <v>45420</v>
      </c>
      <c r="J617" s="418" t="str">
        <f>IF(Introduction!$E$7=1,"🌑",IF(Introduction!$E$7=2,"N","⚉"))</f>
        <v>🌑</v>
      </c>
    </row>
    <row r="618" spans="9:10" x14ac:dyDescent="0.2">
      <c r="I618" s="209">
        <v>45427</v>
      </c>
      <c r="J618" s="418" t="str">
        <f>IF(Introduction!$E$7=1,"🌓",IF(Introduction!$E$7=2,"P","☽"))</f>
        <v>🌓</v>
      </c>
    </row>
    <row r="619" spans="9:10" x14ac:dyDescent="0.2">
      <c r="I619" s="209">
        <v>45435</v>
      </c>
      <c r="J619" s="418" t="str">
        <f>IF(Introduction!$E$7=1,"🌕",IF(Introduction!$E$7=2,"O","⚇"))</f>
        <v>🌕</v>
      </c>
    </row>
    <row r="620" spans="9:10" x14ac:dyDescent="0.2">
      <c r="I620" s="209">
        <v>45442</v>
      </c>
      <c r="J620" s="418" t="str">
        <f>IF(Introduction!$E$7=1,"🌗",IF(Introduction!$E$7=2,"D","☾"))</f>
        <v>🌗</v>
      </c>
    </row>
    <row r="621" spans="9:10" x14ac:dyDescent="0.2">
      <c r="I621" s="209">
        <v>45449</v>
      </c>
      <c r="J621" s="418" t="str">
        <f>IF(Introduction!$E$7=1,"🌑",IF(Introduction!$E$7=2,"N","⚉"))</f>
        <v>🌑</v>
      </c>
    </row>
    <row r="622" spans="9:10" x14ac:dyDescent="0.2">
      <c r="I622" s="209">
        <v>45457</v>
      </c>
      <c r="J622" s="418" t="str">
        <f>IF(Introduction!$E$7=1,"🌓",IF(Introduction!$E$7=2,"P","☽"))</f>
        <v>🌓</v>
      </c>
    </row>
    <row r="623" spans="9:10" x14ac:dyDescent="0.2">
      <c r="I623" s="209">
        <v>45465</v>
      </c>
      <c r="J623" s="418" t="str">
        <f>IF(Introduction!$E$7=1,"🌕",IF(Introduction!$E$7=2,"O","⚇"))</f>
        <v>🌕</v>
      </c>
    </row>
    <row r="624" spans="9:10" x14ac:dyDescent="0.2">
      <c r="I624" s="209">
        <v>45471</v>
      </c>
      <c r="J624" s="418" t="str">
        <f>IF(Introduction!$E$7=1,"🌗",IF(Introduction!$E$7=2,"D","☾"))</f>
        <v>🌗</v>
      </c>
    </row>
    <row r="625" spans="9:10" x14ac:dyDescent="0.2">
      <c r="I625" s="209">
        <v>45478</v>
      </c>
      <c r="J625" s="418" t="str">
        <f>IF(Introduction!$E$7=1,"🌑",IF(Introduction!$E$7=2,"N","⚉"))</f>
        <v>🌑</v>
      </c>
    </row>
    <row r="626" spans="9:10" x14ac:dyDescent="0.2">
      <c r="I626" s="209">
        <v>45486</v>
      </c>
      <c r="J626" s="418" t="str">
        <f>IF(Introduction!$E$7=1,"🌓",IF(Introduction!$E$7=2,"P","☽"))</f>
        <v>🌓</v>
      </c>
    </row>
    <row r="627" spans="9:10" x14ac:dyDescent="0.2">
      <c r="I627" s="209">
        <v>45494</v>
      </c>
      <c r="J627" s="418" t="str">
        <f>IF(Introduction!$E$7=1,"🌕",IF(Introduction!$E$7=2,"O","⚇"))</f>
        <v>🌕</v>
      </c>
    </row>
    <row r="628" spans="9:10" x14ac:dyDescent="0.2">
      <c r="I628" s="209">
        <v>45501</v>
      </c>
      <c r="J628" s="418" t="str">
        <f>IF(Introduction!$E$7=1,"🌗",IF(Introduction!$E$7=2,"D","☾"))</f>
        <v>🌗</v>
      </c>
    </row>
    <row r="629" spans="9:10" x14ac:dyDescent="0.2">
      <c r="I629" s="209">
        <v>45508</v>
      </c>
      <c r="J629" s="418" t="str">
        <f>IF(Introduction!$E$7=1,"🌑",IF(Introduction!$E$7=2,"N","⚉"))</f>
        <v>🌑</v>
      </c>
    </row>
    <row r="630" spans="9:10" x14ac:dyDescent="0.2">
      <c r="I630" s="209">
        <v>45516</v>
      </c>
      <c r="J630" s="418" t="str">
        <f>IF(Introduction!$E$7=1,"🌓",IF(Introduction!$E$7=2,"P","☽"))</f>
        <v>🌓</v>
      </c>
    </row>
    <row r="631" spans="9:10" x14ac:dyDescent="0.2">
      <c r="I631" s="209">
        <v>45523</v>
      </c>
      <c r="J631" s="418" t="str">
        <f>IF(Introduction!$E$7=1,"🌕",IF(Introduction!$E$7=2,"O","⚇"))</f>
        <v>🌕</v>
      </c>
    </row>
    <row r="632" spans="9:10" x14ac:dyDescent="0.2">
      <c r="I632" s="209">
        <v>45530</v>
      </c>
      <c r="J632" s="418" t="str">
        <f>IF(Introduction!$E$7=1,"🌗",IF(Introduction!$E$7=2,"D","☾"))</f>
        <v>🌗</v>
      </c>
    </row>
    <row r="633" spans="9:10" x14ac:dyDescent="0.2">
      <c r="I633" s="209">
        <v>45538</v>
      </c>
      <c r="J633" s="418" t="str">
        <f>IF(Introduction!$E$7=1,"🌑",IF(Introduction!$E$7=2,"N","⚉"))</f>
        <v>🌑</v>
      </c>
    </row>
    <row r="634" spans="9:10" x14ac:dyDescent="0.2">
      <c r="I634" s="209">
        <v>45546</v>
      </c>
      <c r="J634" s="418" t="str">
        <f>IF(Introduction!$E$7=1,"🌓",IF(Introduction!$E$7=2,"P","☽"))</f>
        <v>🌓</v>
      </c>
    </row>
    <row r="635" spans="9:10" x14ac:dyDescent="0.2">
      <c r="I635" s="209">
        <v>45553</v>
      </c>
      <c r="J635" s="418" t="str">
        <f>IF(Introduction!$E$7=1,"🌕",IF(Introduction!$E$7=2,"O","⚇"))</f>
        <v>🌕</v>
      </c>
    </row>
    <row r="636" spans="9:10" x14ac:dyDescent="0.2">
      <c r="I636" s="209">
        <v>45559</v>
      </c>
      <c r="J636" s="418" t="str">
        <f>IF(Introduction!$E$7=1,"🌗",IF(Introduction!$E$7=2,"D","☾"))</f>
        <v>🌗</v>
      </c>
    </row>
    <row r="637" spans="9:10" x14ac:dyDescent="0.2">
      <c r="I637" s="209">
        <v>45567</v>
      </c>
      <c r="J637" s="418" t="str">
        <f>IF(Introduction!$E$7=1,"🌑",IF(Introduction!$E$7=2,"N","⚉"))</f>
        <v>🌑</v>
      </c>
    </row>
    <row r="638" spans="9:10" x14ac:dyDescent="0.2">
      <c r="I638" s="209">
        <v>45575</v>
      </c>
      <c r="J638" s="418" t="str">
        <f>IF(Introduction!$E$7=1,"🌓",IF(Introduction!$E$7=2,"P","☽"))</f>
        <v>🌓</v>
      </c>
    </row>
    <row r="639" spans="9:10" x14ac:dyDescent="0.2">
      <c r="I639" s="209">
        <v>45582</v>
      </c>
      <c r="J639" s="418" t="str">
        <f>IF(Introduction!$E$7=1,"🌕",IF(Introduction!$E$7=2,"O","⚇"))</f>
        <v>🌕</v>
      </c>
    </row>
    <row r="640" spans="9:10" x14ac:dyDescent="0.2">
      <c r="I640" s="209">
        <v>45589</v>
      </c>
      <c r="J640" s="418" t="str">
        <f>IF(Introduction!$E$7=1,"🌗",IF(Introduction!$E$7=2,"D","☾"))</f>
        <v>🌗</v>
      </c>
    </row>
    <row r="641" spans="9:10" x14ac:dyDescent="0.2">
      <c r="I641" s="209">
        <v>45597</v>
      </c>
      <c r="J641" s="418" t="str">
        <f>IF(Introduction!$E$7=1,"🌑",IF(Introduction!$E$7=2,"N","⚉"))</f>
        <v>🌑</v>
      </c>
    </row>
    <row r="642" spans="9:10" x14ac:dyDescent="0.2">
      <c r="I642" s="209">
        <v>45605</v>
      </c>
      <c r="J642" s="418" t="str">
        <f>IF(Introduction!$E$7=1,"🌓",IF(Introduction!$E$7=2,"P","☽"))</f>
        <v>🌓</v>
      </c>
    </row>
    <row r="643" spans="9:10" x14ac:dyDescent="0.2">
      <c r="I643" s="209">
        <v>45611</v>
      </c>
      <c r="J643" s="418" t="str">
        <f>IF(Introduction!$E$7=1,"🌕",IF(Introduction!$E$7=2,"O","⚇"))</f>
        <v>🌕</v>
      </c>
    </row>
    <row r="644" spans="9:10" x14ac:dyDescent="0.2">
      <c r="I644" s="209">
        <v>45619</v>
      </c>
      <c r="J644" s="418" t="str">
        <f>IF(Introduction!$E$7=1,"🌗",IF(Introduction!$E$7=2,"D","☾"))</f>
        <v>🌗</v>
      </c>
    </row>
    <row r="645" spans="9:10" x14ac:dyDescent="0.2">
      <c r="I645" s="209">
        <v>45627</v>
      </c>
      <c r="J645" s="418" t="str">
        <f>IF(Introduction!$E$7=1,"🌑",IF(Introduction!$E$7=2,"N","⚉"))</f>
        <v>🌑</v>
      </c>
    </row>
    <row r="646" spans="9:10" x14ac:dyDescent="0.2">
      <c r="I646" s="209">
        <v>45634</v>
      </c>
      <c r="J646" s="418" t="str">
        <f>IF(Introduction!$E$7=1,"🌓",IF(Introduction!$E$7=2,"P","☽"))</f>
        <v>🌓</v>
      </c>
    </row>
    <row r="647" spans="9:10" x14ac:dyDescent="0.2">
      <c r="I647" s="209">
        <v>45641</v>
      </c>
      <c r="J647" s="418" t="str">
        <f>IF(Introduction!$E$7=1,"🌕",IF(Introduction!$E$7=2,"O","⚇"))</f>
        <v>🌕</v>
      </c>
    </row>
    <row r="648" spans="9:10" x14ac:dyDescent="0.2">
      <c r="I648" s="209">
        <v>45648</v>
      </c>
      <c r="J648" s="418" t="str">
        <f>IF(Introduction!$E$7=1,"🌗",IF(Introduction!$E$7=2,"D","☾"))</f>
        <v>🌗</v>
      </c>
    </row>
    <row r="649" spans="9:10" x14ac:dyDescent="0.2">
      <c r="I649" s="209">
        <v>45656</v>
      </c>
      <c r="J649" s="418" t="str">
        <f>IF(Introduction!$E$7=1,"🌑",IF(Introduction!$E$7=2,"N","⚉"))</f>
        <v>🌑</v>
      </c>
    </row>
    <row r="650" spans="9:10" x14ac:dyDescent="0.2">
      <c r="I650" s="209">
        <v>45663</v>
      </c>
      <c r="J650" s="418" t="str">
        <f>IF(Introduction!$E$7=1,"🌓",IF(Introduction!$E$7=2,"P","☽"))</f>
        <v>🌓</v>
      </c>
    </row>
    <row r="651" spans="9:10" x14ac:dyDescent="0.2">
      <c r="I651" s="209">
        <v>45670</v>
      </c>
      <c r="J651" s="418" t="str">
        <f>IF(Introduction!$E$7=1,"🌕",IF(Introduction!$E$7=2,"O","⚇"))</f>
        <v>🌕</v>
      </c>
    </row>
    <row r="652" spans="9:10" x14ac:dyDescent="0.2">
      <c r="I652" s="209">
        <v>45678</v>
      </c>
      <c r="J652" s="418" t="str">
        <f>IF(Introduction!$E$7=1,"🌗",IF(Introduction!$E$7=2,"D","☾"))</f>
        <v>🌗</v>
      </c>
    </row>
    <row r="653" spans="9:10" x14ac:dyDescent="0.2">
      <c r="I653" s="209">
        <v>45686</v>
      </c>
      <c r="J653" s="418" t="str">
        <f>IF(Introduction!$E$7=1,"🌑",IF(Introduction!$E$7=2,"N","⚉"))</f>
        <v>🌑</v>
      </c>
    </row>
    <row r="654" spans="9:10" x14ac:dyDescent="0.2">
      <c r="I654" s="209">
        <v>45693</v>
      </c>
      <c r="J654" s="418" t="str">
        <f>IF(Introduction!$E$7=1,"🌓",IF(Introduction!$E$7=2,"P","☽"))</f>
        <v>🌓</v>
      </c>
    </row>
    <row r="655" spans="9:10" x14ac:dyDescent="0.2">
      <c r="I655" s="209">
        <v>45700</v>
      </c>
      <c r="J655" s="418" t="str">
        <f>IF(Introduction!$E$7=1,"🌕",IF(Introduction!$E$7=2,"O","⚇"))</f>
        <v>🌕</v>
      </c>
    </row>
    <row r="656" spans="9:10" x14ac:dyDescent="0.2">
      <c r="I656" s="209">
        <v>45708</v>
      </c>
      <c r="J656" s="418" t="str">
        <f>IF(Introduction!$E$7=1,"🌗",IF(Introduction!$E$7=2,"D","☾"))</f>
        <v>🌗</v>
      </c>
    </row>
    <row r="657" spans="9:10" x14ac:dyDescent="0.2">
      <c r="I657" s="209">
        <v>45716</v>
      </c>
      <c r="J657" s="418" t="str">
        <f>IF(Introduction!$E$7=1,"🌑",IF(Introduction!$E$7=2,"N","⚉"))</f>
        <v>🌑</v>
      </c>
    </row>
    <row r="658" spans="9:10" x14ac:dyDescent="0.2">
      <c r="I658" s="209">
        <v>45722</v>
      </c>
      <c r="J658" s="418" t="str">
        <f>IF(Introduction!$E$7=1,"🌓",IF(Introduction!$E$7=2,"P","☽"))</f>
        <v>🌓</v>
      </c>
    </row>
    <row r="659" spans="9:10" x14ac:dyDescent="0.2">
      <c r="I659" s="209">
        <v>45730</v>
      </c>
      <c r="J659" s="418" t="str">
        <f>IF(Introduction!$E$7=1,"🌕",IF(Introduction!$E$7=2,"O","⚇"))</f>
        <v>🌕</v>
      </c>
    </row>
    <row r="660" spans="9:10" x14ac:dyDescent="0.2">
      <c r="I660" s="209">
        <v>45738</v>
      </c>
      <c r="J660" s="418" t="str">
        <f>IF(Introduction!$E$7=1,"🌗",IF(Introduction!$E$7=2,"D","☾"))</f>
        <v>🌗</v>
      </c>
    </row>
    <row r="661" spans="9:10" x14ac:dyDescent="0.2">
      <c r="I661" s="209">
        <v>45745</v>
      </c>
      <c r="J661" s="418" t="str">
        <f>IF(Introduction!$E$7=1,"🌑",IF(Introduction!$E$7=2,"N","⚉"))</f>
        <v>🌑</v>
      </c>
    </row>
    <row r="662" spans="9:10" x14ac:dyDescent="0.2">
      <c r="I662" s="209">
        <v>45752</v>
      </c>
      <c r="J662" s="418" t="str">
        <f>IF(Introduction!$E$7=1,"🌓",IF(Introduction!$E$7=2,"P","☽"))</f>
        <v>🌓</v>
      </c>
    </row>
    <row r="663" spans="9:10" x14ac:dyDescent="0.2">
      <c r="I663" s="209">
        <v>45760</v>
      </c>
      <c r="J663" s="418" t="str">
        <f>IF(Introduction!$E$7=1,"🌕",IF(Introduction!$E$7=2,"O","⚇"))</f>
        <v>🌕</v>
      </c>
    </row>
    <row r="664" spans="9:10" x14ac:dyDescent="0.2">
      <c r="I664" s="209">
        <v>45768</v>
      </c>
      <c r="J664" s="418" t="str">
        <f>IF(Introduction!$E$7=1,"🌗",IF(Introduction!$E$7=2,"D","☾"))</f>
        <v>🌗</v>
      </c>
    </row>
    <row r="665" spans="9:10" x14ac:dyDescent="0.2">
      <c r="I665" s="209">
        <v>45774</v>
      </c>
      <c r="J665" s="418" t="str">
        <f>IF(Introduction!$E$7=1,"🌑",IF(Introduction!$E$7=2,"N","⚉"))</f>
        <v>🌑</v>
      </c>
    </row>
    <row r="666" spans="9:10" x14ac:dyDescent="0.2">
      <c r="I666" s="209">
        <v>45781</v>
      </c>
      <c r="J666" s="418" t="str">
        <f>IF(Introduction!$E$7=1,"🌓",IF(Introduction!$E$7=2,"P","☽"))</f>
        <v>🌓</v>
      </c>
    </row>
    <row r="667" spans="9:10" x14ac:dyDescent="0.2">
      <c r="I667" s="209">
        <v>45789</v>
      </c>
      <c r="J667" s="418" t="str">
        <f>IF(Introduction!$E$7=1,"🌕",IF(Introduction!$E$7=2,"O","⚇"))</f>
        <v>🌕</v>
      </c>
    </row>
    <row r="668" spans="9:10" x14ac:dyDescent="0.2">
      <c r="I668" s="209">
        <v>45797</v>
      </c>
      <c r="J668" s="418" t="str">
        <f>IF(Introduction!$E$7=1,"🌗",IF(Introduction!$E$7=2,"D","☾"))</f>
        <v>🌗</v>
      </c>
    </row>
    <row r="669" spans="9:10" x14ac:dyDescent="0.2">
      <c r="I669" s="209">
        <v>45804</v>
      </c>
      <c r="J669" s="418" t="str">
        <f>IF(Introduction!$E$7=1,"🌑",IF(Introduction!$E$7=2,"N","⚉"))</f>
        <v>🌑</v>
      </c>
    </row>
    <row r="670" spans="9:10" x14ac:dyDescent="0.2">
      <c r="I670" s="209">
        <v>45811</v>
      </c>
      <c r="J670" s="418" t="str">
        <f>IF(Introduction!$E$7=1,"🌓",IF(Introduction!$E$7=2,"P","☽"))</f>
        <v>🌓</v>
      </c>
    </row>
    <row r="671" spans="9:10" x14ac:dyDescent="0.2">
      <c r="I671" s="209">
        <v>45819</v>
      </c>
      <c r="J671" s="418" t="str">
        <f>IF(Introduction!$E$7=1,"🌕",IF(Introduction!$E$7=2,"O","⚇"))</f>
        <v>🌕</v>
      </c>
    </row>
    <row r="672" spans="9:10" x14ac:dyDescent="0.2">
      <c r="I672" s="209">
        <v>45826</v>
      </c>
      <c r="J672" s="418" t="str">
        <f>IF(Introduction!$E$7=1,"🌗",IF(Introduction!$E$7=2,"D","☾"))</f>
        <v>🌗</v>
      </c>
    </row>
    <row r="673" spans="9:10" x14ac:dyDescent="0.2">
      <c r="I673" s="209">
        <v>45833</v>
      </c>
      <c r="J673" s="418" t="str">
        <f>IF(Introduction!$E$7=1,"🌑",IF(Introduction!$E$7=2,"N","⚉"))</f>
        <v>🌑</v>
      </c>
    </row>
    <row r="674" spans="9:10" x14ac:dyDescent="0.2">
      <c r="I674" s="209">
        <v>45840</v>
      </c>
      <c r="J674" s="418" t="str">
        <f>IF(Introduction!$E$7=1,"🌓",IF(Introduction!$E$7=2,"P","☽"))</f>
        <v>🌓</v>
      </c>
    </row>
    <row r="675" spans="9:10" x14ac:dyDescent="0.2">
      <c r="I675" s="209">
        <v>45848</v>
      </c>
      <c r="J675" s="418" t="str">
        <f>IF(Introduction!$E$7=1,"🌕",IF(Introduction!$E$7=2,"O","⚇"))</f>
        <v>🌕</v>
      </c>
    </row>
    <row r="676" spans="9:10" x14ac:dyDescent="0.2">
      <c r="I676" s="209">
        <v>45856</v>
      </c>
      <c r="J676" s="418" t="str">
        <f>IF(Introduction!$E$7=1,"🌗",IF(Introduction!$E$7=2,"D","☾"))</f>
        <v>🌗</v>
      </c>
    </row>
    <row r="677" spans="9:10" x14ac:dyDescent="0.2">
      <c r="I677" s="209">
        <v>45862</v>
      </c>
      <c r="J677" s="418" t="str">
        <f>IF(Introduction!$E$7=1,"🌑",IF(Introduction!$E$7=2,"N","⚉"))</f>
        <v>🌑</v>
      </c>
    </row>
    <row r="678" spans="9:10" x14ac:dyDescent="0.2">
      <c r="I678" s="209">
        <v>45870</v>
      </c>
      <c r="J678" s="418" t="str">
        <f>IF(Introduction!$E$7=1,"🌓",IF(Introduction!$E$7=2,"P","☽"))</f>
        <v>🌓</v>
      </c>
    </row>
    <row r="679" spans="9:10" x14ac:dyDescent="0.2">
      <c r="I679" s="209">
        <v>45878</v>
      </c>
      <c r="J679" s="418" t="str">
        <f>IF(Introduction!$E$7=1,"🌕",IF(Introduction!$E$7=2,"O","⚇"))</f>
        <v>🌕</v>
      </c>
    </row>
    <row r="680" spans="9:10" x14ac:dyDescent="0.2">
      <c r="I680" s="209">
        <v>45885</v>
      </c>
      <c r="J680" s="418" t="str">
        <f>IF(Introduction!$E$7=1,"🌗",IF(Introduction!$E$7=2,"D","☾"))</f>
        <v>🌗</v>
      </c>
    </row>
    <row r="681" spans="9:10" x14ac:dyDescent="0.2">
      <c r="I681" s="209">
        <v>45892</v>
      </c>
      <c r="J681" s="418" t="str">
        <f>IF(Introduction!$E$7=1,"🌑",IF(Introduction!$E$7=2,"N","⚉"))</f>
        <v>🌑</v>
      </c>
    </row>
    <row r="682" spans="9:10" x14ac:dyDescent="0.2">
      <c r="I682" s="209">
        <v>45900</v>
      </c>
      <c r="J682" s="418" t="str">
        <f>IF(Introduction!$E$7=1,"🌓",IF(Introduction!$E$7=2,"P","☽"))</f>
        <v>🌓</v>
      </c>
    </row>
    <row r="683" spans="9:10" x14ac:dyDescent="0.2">
      <c r="I683" s="209">
        <v>45907</v>
      </c>
      <c r="J683" s="418" t="str">
        <f>IF(Introduction!$E$7=1,"🌕",IF(Introduction!$E$7=2,"O","⚇"))</f>
        <v>🌕</v>
      </c>
    </row>
    <row r="684" spans="9:10" x14ac:dyDescent="0.2">
      <c r="I684" s="209">
        <v>45914</v>
      </c>
      <c r="J684" s="418" t="str">
        <f>IF(Introduction!$E$7=1,"🌗",IF(Introduction!$E$7=2,"D","☾"))</f>
        <v>🌗</v>
      </c>
    </row>
    <row r="685" spans="9:10" x14ac:dyDescent="0.2">
      <c r="I685" s="209">
        <v>45921</v>
      </c>
      <c r="J685" s="418" t="str">
        <f>IF(Introduction!$E$7=1,"🌑",IF(Introduction!$E$7=2,"N","⚉"))</f>
        <v>🌑</v>
      </c>
    </row>
    <row r="686" spans="9:10" x14ac:dyDescent="0.2">
      <c r="I686" s="209">
        <v>45929</v>
      </c>
      <c r="J686" s="418" t="str">
        <f>IF(Introduction!$E$7=1,"🌓",IF(Introduction!$E$7=2,"P","☽"))</f>
        <v>🌓</v>
      </c>
    </row>
    <row r="687" spans="9:10" x14ac:dyDescent="0.2">
      <c r="I687" s="209">
        <v>45937</v>
      </c>
      <c r="J687" s="418" t="str">
        <f>IF(Introduction!$E$7=1,"🌕",IF(Introduction!$E$7=2,"O","⚇"))</f>
        <v>🌕</v>
      </c>
    </row>
    <row r="688" spans="9:10" x14ac:dyDescent="0.2">
      <c r="I688" s="209">
        <v>45943</v>
      </c>
      <c r="J688" s="418" t="str">
        <f>IF(Introduction!$E$7=1,"🌗",IF(Introduction!$E$7=2,"D","☾"))</f>
        <v>🌗</v>
      </c>
    </row>
    <row r="689" spans="9:10" x14ac:dyDescent="0.2">
      <c r="I689" s="209">
        <v>45951</v>
      </c>
      <c r="J689" s="418" t="str">
        <f>IF(Introduction!$E$7=1,"🌑",IF(Introduction!$E$7=2,"N","⚉"))</f>
        <v>🌑</v>
      </c>
    </row>
    <row r="690" spans="9:10" x14ac:dyDescent="0.2">
      <c r="I690" s="209">
        <v>45959</v>
      </c>
      <c r="J690" s="418" t="str">
        <f>IF(Introduction!$E$7=1,"🌓",IF(Introduction!$E$7=2,"P","☽"))</f>
        <v>🌓</v>
      </c>
    </row>
    <row r="691" spans="9:10" x14ac:dyDescent="0.2">
      <c r="I691" s="209">
        <v>45966</v>
      </c>
      <c r="J691" s="418" t="str">
        <f>IF(Introduction!$E$7=1,"🌕",IF(Introduction!$E$7=2,"O","⚇"))</f>
        <v>🌕</v>
      </c>
    </row>
    <row r="692" spans="9:10" x14ac:dyDescent="0.2">
      <c r="I692" s="209">
        <v>45973</v>
      </c>
      <c r="J692" s="418" t="str">
        <f>IF(Introduction!$E$7=1,"🌗",IF(Introduction!$E$7=2,"D","☾"))</f>
        <v>🌗</v>
      </c>
    </row>
    <row r="693" spans="9:10" x14ac:dyDescent="0.2">
      <c r="I693" s="209">
        <v>45981</v>
      </c>
      <c r="J693" s="418" t="str">
        <f>IF(Introduction!$E$7=1,"🌑",IF(Introduction!$E$7=2,"N","⚉"))</f>
        <v>🌑</v>
      </c>
    </row>
    <row r="694" spans="9:10" x14ac:dyDescent="0.2">
      <c r="I694" s="209">
        <v>45989</v>
      </c>
      <c r="J694" s="418" t="str">
        <f>IF(Introduction!$E$7=1,"🌓",IF(Introduction!$E$7=2,"P","☽"))</f>
        <v>🌓</v>
      </c>
    </row>
    <row r="695" spans="9:10" x14ac:dyDescent="0.2">
      <c r="I695" s="209">
        <v>45995</v>
      </c>
      <c r="J695" s="418" t="str">
        <f>IF(Introduction!$E$7=1,"🌕",IF(Introduction!$E$7=2,"O","⚇"))</f>
        <v>🌕</v>
      </c>
    </row>
    <row r="696" spans="9:10" x14ac:dyDescent="0.2">
      <c r="I696" s="209">
        <v>46002</v>
      </c>
      <c r="J696" s="418" t="str">
        <f>IF(Introduction!$E$7=1,"🌗",IF(Introduction!$E$7=2,"D","☾"))</f>
        <v>🌗</v>
      </c>
    </row>
    <row r="697" spans="9:10" x14ac:dyDescent="0.2">
      <c r="I697" s="209">
        <v>46011</v>
      </c>
      <c r="J697" s="418" t="str">
        <f>IF(Introduction!$E$7=1,"🌑",IF(Introduction!$E$7=2,"N","⚉"))</f>
        <v>🌑</v>
      </c>
    </row>
    <row r="698" spans="9:10" x14ac:dyDescent="0.2">
      <c r="I698" s="209">
        <v>46018</v>
      </c>
      <c r="J698" s="418" t="str">
        <f>IF(Introduction!$E$7=1,"🌓",IF(Introduction!$E$7=2,"P","☽"))</f>
        <v>🌓</v>
      </c>
    </row>
    <row r="699" spans="9:10" x14ac:dyDescent="0.2">
      <c r="I699" s="209">
        <v>46025</v>
      </c>
      <c r="J699" s="418" t="str">
        <f>IF(Introduction!$E$7=1,"🌕",IF(Introduction!$E$7=2,"O","⚇"))</f>
        <v>🌕</v>
      </c>
    </row>
    <row r="700" spans="9:10" x14ac:dyDescent="0.2">
      <c r="I700" s="209">
        <v>46032</v>
      </c>
      <c r="J700" s="418" t="str">
        <f>IF(Introduction!$E$7=1,"🌗",IF(Introduction!$E$7=2,"D","☾"))</f>
        <v>🌗</v>
      </c>
    </row>
    <row r="701" spans="9:10" x14ac:dyDescent="0.2">
      <c r="I701" s="209">
        <v>46040</v>
      </c>
      <c r="J701" s="418" t="str">
        <f>IF(Introduction!$E$7=1,"🌑",IF(Introduction!$E$7=2,"N","⚉"))</f>
        <v>🌑</v>
      </c>
    </row>
    <row r="702" spans="9:10" x14ac:dyDescent="0.2">
      <c r="I702" s="209">
        <v>46048</v>
      </c>
      <c r="J702" s="418" t="str">
        <f>IF(Introduction!$E$7=1,"🌓",IF(Introduction!$E$7=2,"P","☽"))</f>
        <v>🌓</v>
      </c>
    </row>
    <row r="703" spans="9:10" x14ac:dyDescent="0.2">
      <c r="I703" s="209">
        <v>46054</v>
      </c>
      <c r="J703" s="418" t="str">
        <f>IF(Introduction!$E$7=1,"🌕",IF(Introduction!$E$7=2,"O","⚇"))</f>
        <v>🌕</v>
      </c>
    </row>
    <row r="704" spans="9:10" x14ac:dyDescent="0.2">
      <c r="I704" s="209">
        <v>46062</v>
      </c>
      <c r="J704" s="418" t="str">
        <f>IF(Introduction!$E$7=1,"🌗",IF(Introduction!$E$7=2,"D","☾"))</f>
        <v>🌗</v>
      </c>
    </row>
    <row r="705" spans="9:10" x14ac:dyDescent="0.2">
      <c r="I705" s="209">
        <v>46070</v>
      </c>
      <c r="J705" s="418" t="str">
        <f>IF(Introduction!$E$7=1,"🌑",IF(Introduction!$E$7=2,"N","⚉"))</f>
        <v>🌑</v>
      </c>
    </row>
    <row r="706" spans="9:10" x14ac:dyDescent="0.2">
      <c r="I706" s="209">
        <v>46077</v>
      </c>
      <c r="J706" s="418" t="str">
        <f>IF(Introduction!$E$7=1,"🌓",IF(Introduction!$E$7=2,"P","☽"))</f>
        <v>🌓</v>
      </c>
    </row>
    <row r="707" spans="9:10" x14ac:dyDescent="0.2">
      <c r="I707" s="209">
        <v>46084</v>
      </c>
      <c r="J707" s="418" t="str">
        <f>IF(Introduction!$E$7=1,"🌕",IF(Introduction!$E$7=2,"O","⚇"))</f>
        <v>🌕</v>
      </c>
    </row>
    <row r="708" spans="9:10" x14ac:dyDescent="0.2">
      <c r="I708" s="209">
        <v>46092</v>
      </c>
      <c r="J708" s="418" t="str">
        <f>IF(Introduction!$E$7=1,"🌗",IF(Introduction!$E$7=2,"D","☾"))</f>
        <v>🌗</v>
      </c>
    </row>
    <row r="709" spans="9:10" x14ac:dyDescent="0.2">
      <c r="I709" s="209">
        <v>46100</v>
      </c>
      <c r="J709" s="418" t="str">
        <f>IF(Introduction!$E$7=1,"🌑",IF(Introduction!$E$7=2,"N","⚉"))</f>
        <v>🌑</v>
      </c>
    </row>
    <row r="710" spans="9:10" x14ac:dyDescent="0.2">
      <c r="I710" s="209">
        <v>46106</v>
      </c>
      <c r="J710" s="418" t="str">
        <f>IF(Introduction!$E$7=1,"🌓",IF(Introduction!$E$7=2,"P","☽"))</f>
        <v>🌓</v>
      </c>
    </row>
    <row r="711" spans="9:10" x14ac:dyDescent="0.2">
      <c r="I711" s="209">
        <v>46114</v>
      </c>
      <c r="J711" s="418" t="str">
        <f>IF(Introduction!$E$7=1,"🌕",IF(Introduction!$E$7=2,"O","⚇"))</f>
        <v>🌕</v>
      </c>
    </row>
    <row r="712" spans="9:10" x14ac:dyDescent="0.2">
      <c r="I712" s="209">
        <v>46122</v>
      </c>
      <c r="J712" s="418" t="str">
        <f>IF(Introduction!$E$7=1,"🌗",IF(Introduction!$E$7=2,"D","☾"))</f>
        <v>🌗</v>
      </c>
    </row>
    <row r="713" spans="9:10" x14ac:dyDescent="0.2">
      <c r="I713" s="209">
        <v>46129</v>
      </c>
      <c r="J713" s="418" t="str">
        <f>IF(Introduction!$E$7=1,"🌑",IF(Introduction!$E$7=2,"N","⚉"))</f>
        <v>🌑</v>
      </c>
    </row>
    <row r="714" spans="9:10" x14ac:dyDescent="0.2">
      <c r="I714" s="209">
        <v>46136</v>
      </c>
      <c r="J714" s="418" t="str">
        <f>IF(Introduction!$E$7=1,"🌓",IF(Introduction!$E$7=2,"P","☽"))</f>
        <v>🌓</v>
      </c>
    </row>
    <row r="715" spans="9:10" x14ac:dyDescent="0.2">
      <c r="I715" s="209">
        <v>46143</v>
      </c>
      <c r="J715" s="418" t="str">
        <f>IF(Introduction!$E$7=1,"🌕",IF(Introduction!$E$7=2,"O","⚇"))</f>
        <v>🌕</v>
      </c>
    </row>
    <row r="716" spans="9:10" x14ac:dyDescent="0.2">
      <c r="I716" s="209">
        <v>46151</v>
      </c>
      <c r="J716" s="418" t="str">
        <f>IF(Introduction!$E$7=1,"🌗",IF(Introduction!$E$7=2,"D","☾"))</f>
        <v>🌗</v>
      </c>
    </row>
    <row r="717" spans="9:10" x14ac:dyDescent="0.2">
      <c r="I717" s="209">
        <v>46158</v>
      </c>
      <c r="J717" s="418" t="str">
        <f>IF(Introduction!$E$7=1,"🌑",IF(Introduction!$E$7=2,"N","⚉"))</f>
        <v>🌑</v>
      </c>
    </row>
    <row r="718" spans="9:10" x14ac:dyDescent="0.2">
      <c r="I718" s="209">
        <v>46165</v>
      </c>
      <c r="J718" s="418" t="str">
        <f>IF(Introduction!$E$7=1,"🌓",IF(Introduction!$E$7=2,"P","☽"))</f>
        <v>🌓</v>
      </c>
    </row>
    <row r="719" spans="9:10" x14ac:dyDescent="0.2">
      <c r="I719" s="209">
        <v>46173</v>
      </c>
      <c r="J719" s="418" t="str">
        <f>IF(Introduction!$E$7=1,"🌕",IF(Introduction!$E$7=2,"O","⚇"))</f>
        <v>🌕</v>
      </c>
    </row>
    <row r="720" spans="9:10" x14ac:dyDescent="0.2">
      <c r="I720" s="209">
        <v>46181</v>
      </c>
      <c r="J720" s="418" t="str">
        <f>IF(Introduction!$E$7=1,"🌗",IF(Introduction!$E$7=2,"D","☾"))</f>
        <v>🌗</v>
      </c>
    </row>
    <row r="721" spans="9:10" x14ac:dyDescent="0.2">
      <c r="I721" s="209">
        <v>46188</v>
      </c>
      <c r="J721" s="418" t="str">
        <f>IF(Introduction!$E$7=1,"🌑",IF(Introduction!$E$7=2,"N","⚉"))</f>
        <v>🌑</v>
      </c>
    </row>
    <row r="722" spans="9:10" x14ac:dyDescent="0.2">
      <c r="I722" s="209">
        <v>46194</v>
      </c>
      <c r="J722" s="418" t="str">
        <f>IF(Introduction!$E$7=1,"🌓",IF(Introduction!$E$7=2,"P","☽"))</f>
        <v>🌓</v>
      </c>
    </row>
    <row r="723" spans="9:10" x14ac:dyDescent="0.2">
      <c r="I723" s="209">
        <v>46202</v>
      </c>
      <c r="J723" s="418" t="str">
        <f>IF(Introduction!$E$7=1,"🌕",IF(Introduction!$E$7=2,"O","⚇"))</f>
        <v>🌕</v>
      </c>
    </row>
    <row r="724" spans="9:10" x14ac:dyDescent="0.2">
      <c r="I724" s="209">
        <v>46210</v>
      </c>
      <c r="J724" s="418" t="str">
        <f>IF(Introduction!$E$7=1,"🌗",IF(Introduction!$E$7=2,"D","☾"))</f>
        <v>🌗</v>
      </c>
    </row>
    <row r="725" spans="9:10" x14ac:dyDescent="0.2">
      <c r="I725" s="209">
        <v>46217</v>
      </c>
      <c r="J725" s="418" t="str">
        <f>IF(Introduction!$E$7=1,"🌑",IF(Introduction!$E$7=2,"N","⚉"))</f>
        <v>🌑</v>
      </c>
    </row>
    <row r="726" spans="9:10" x14ac:dyDescent="0.2">
      <c r="I726" s="209">
        <v>46224</v>
      </c>
      <c r="J726" s="418" t="str">
        <f>IF(Introduction!$E$7=1,"🌓",IF(Introduction!$E$7=2,"P","☽"))</f>
        <v>🌓</v>
      </c>
    </row>
    <row r="727" spans="9:10" x14ac:dyDescent="0.2">
      <c r="I727" s="209">
        <v>46232</v>
      </c>
      <c r="J727" s="418" t="str">
        <f>IF(Introduction!$E$7=1,"🌕",IF(Introduction!$E$7=2,"O","⚇"))</f>
        <v>🌕</v>
      </c>
    </row>
    <row r="728" spans="9:10" x14ac:dyDescent="0.2">
      <c r="I728" s="209">
        <v>46240</v>
      </c>
      <c r="J728" s="418" t="str">
        <f>IF(Introduction!$E$7=1,"🌗",IF(Introduction!$E$7=2,"D","☾"))</f>
        <v>🌗</v>
      </c>
    </row>
    <row r="729" spans="9:10" x14ac:dyDescent="0.2">
      <c r="I729" s="209">
        <v>46246</v>
      </c>
      <c r="J729" s="418" t="str">
        <f>IF(Introduction!$E$7=1,"🌑",IF(Introduction!$E$7=2,"N","⚉"))</f>
        <v>🌑</v>
      </c>
    </row>
    <row r="730" spans="9:10" x14ac:dyDescent="0.2">
      <c r="I730" s="209">
        <v>46254</v>
      </c>
      <c r="J730" s="418" t="str">
        <f>IF(Introduction!$E$7=1,"🌓",IF(Introduction!$E$7=2,"P","☽"))</f>
        <v>🌓</v>
      </c>
    </row>
    <row r="731" spans="9:10" x14ac:dyDescent="0.2">
      <c r="I731" s="209">
        <v>46262</v>
      </c>
      <c r="J731" s="418" t="str">
        <f>IF(Introduction!$E$7=1,"🌕",IF(Introduction!$E$7=2,"O","⚇"))</f>
        <v>🌕</v>
      </c>
    </row>
    <row r="732" spans="9:10" x14ac:dyDescent="0.2">
      <c r="I732" s="209">
        <v>46269</v>
      </c>
      <c r="J732" s="418" t="str">
        <f>IF(Introduction!$E$7=1,"🌗",IF(Introduction!$E$7=2,"D","☾"))</f>
        <v>🌗</v>
      </c>
    </row>
    <row r="733" spans="9:10" x14ac:dyDescent="0.2">
      <c r="I733" s="209">
        <v>46276</v>
      </c>
      <c r="J733" s="418" t="str">
        <f>IF(Introduction!$E$7=1,"🌑",IF(Introduction!$E$7=2,"N","⚉"))</f>
        <v>🌑</v>
      </c>
    </row>
    <row r="734" spans="9:10" x14ac:dyDescent="0.2">
      <c r="I734" s="209">
        <v>46283</v>
      </c>
      <c r="J734" s="418" t="str">
        <f>IF(Introduction!$E$7=1,"🌓",IF(Introduction!$E$7=2,"P","☽"))</f>
        <v>🌓</v>
      </c>
    </row>
    <row r="735" spans="9:10" x14ac:dyDescent="0.2">
      <c r="I735" s="209">
        <v>46291</v>
      </c>
      <c r="J735" s="418" t="str">
        <f>IF(Introduction!$E$7=1,"🌕",IF(Introduction!$E$7=2,"O","⚇"))</f>
        <v>🌕</v>
      </c>
    </row>
    <row r="736" spans="9:10" x14ac:dyDescent="0.2">
      <c r="I736" s="209">
        <v>46298</v>
      </c>
      <c r="J736" s="418" t="str">
        <f>IF(Introduction!$E$7=1,"🌗",IF(Introduction!$E$7=2,"D","☾"))</f>
        <v>🌗</v>
      </c>
    </row>
    <row r="737" spans="9:10" x14ac:dyDescent="0.2">
      <c r="I737" s="209">
        <v>46305</v>
      </c>
      <c r="J737" s="418" t="str">
        <f>IF(Introduction!$E$7=1,"🌑",IF(Introduction!$E$7=2,"N","⚉"))</f>
        <v>🌑</v>
      </c>
    </row>
    <row r="738" spans="9:10" x14ac:dyDescent="0.2">
      <c r="I738" s="209">
        <v>46313</v>
      </c>
      <c r="J738" s="418" t="str">
        <f>IF(Introduction!$E$7=1,"🌓",IF(Introduction!$E$7=2,"P","☽"))</f>
        <v>🌓</v>
      </c>
    </row>
    <row r="739" spans="9:10" x14ac:dyDescent="0.2">
      <c r="I739" s="209">
        <v>46321</v>
      </c>
      <c r="J739" s="418" t="str">
        <f>IF(Introduction!$E$7=1,"🌕",IF(Introduction!$E$7=2,"O","⚇"))</f>
        <v>🌕</v>
      </c>
    </row>
    <row r="740" spans="9:10" x14ac:dyDescent="0.2">
      <c r="I740" s="209">
        <v>46327</v>
      </c>
      <c r="J740" s="418" t="str">
        <f>IF(Introduction!$E$7=1,"🌗",IF(Introduction!$E$7=2,"D","☾"))</f>
        <v>🌗</v>
      </c>
    </row>
    <row r="741" spans="9:10" x14ac:dyDescent="0.2">
      <c r="I741" s="209">
        <v>46335</v>
      </c>
      <c r="J741" s="418" t="str">
        <f>IF(Introduction!$E$7=1,"🌑",IF(Introduction!$E$7=2,"N","⚉"))</f>
        <v>🌑</v>
      </c>
    </row>
    <row r="742" spans="9:10" x14ac:dyDescent="0.2">
      <c r="I742" s="209">
        <v>46343</v>
      </c>
      <c r="J742" s="418" t="str">
        <f>IF(Introduction!$E$7=1,"🌓",IF(Introduction!$E$7=2,"P","☽"))</f>
        <v>🌓</v>
      </c>
    </row>
    <row r="743" spans="9:10" x14ac:dyDescent="0.2">
      <c r="I743" s="209">
        <v>46350</v>
      </c>
      <c r="J743" s="418" t="str">
        <f>IF(Introduction!$E$7=1,"🌕",IF(Introduction!$E$7=2,"O","⚇"))</f>
        <v>🌕</v>
      </c>
    </row>
    <row r="744" spans="9:10" x14ac:dyDescent="0.2">
      <c r="I744" s="209">
        <v>46357</v>
      </c>
      <c r="J744" s="418" t="str">
        <f>IF(Introduction!$E$7=1,"🌗",IF(Introduction!$E$7=2,"D","☾"))</f>
        <v>🌗</v>
      </c>
    </row>
    <row r="745" spans="9:10" x14ac:dyDescent="0.2">
      <c r="I745" s="209">
        <v>46365</v>
      </c>
      <c r="J745" s="418" t="str">
        <f>IF(Introduction!$E$7=1,"🌑",IF(Introduction!$E$7=2,"N","⚉"))</f>
        <v>🌑</v>
      </c>
    </row>
    <row r="746" spans="9:10" x14ac:dyDescent="0.2">
      <c r="I746" s="209">
        <v>46373</v>
      </c>
      <c r="J746" s="418" t="str">
        <f>IF(Introduction!$E$7=1,"🌓",IF(Introduction!$E$7=2,"P","☽"))</f>
        <v>🌓</v>
      </c>
    </row>
    <row r="747" spans="9:10" x14ac:dyDescent="0.2">
      <c r="I747" s="209">
        <v>46380</v>
      </c>
      <c r="J747" s="418" t="str">
        <f>IF(Introduction!$E$7=1,"🌕",IF(Introduction!$E$7=2,"O","⚇"))</f>
        <v>🌕</v>
      </c>
    </row>
    <row r="748" spans="9:10" x14ac:dyDescent="0.2">
      <c r="I748" s="209">
        <v>46386</v>
      </c>
      <c r="J748" s="418" t="str">
        <f>IF(Introduction!$E$7=1,"🌗",IF(Introduction!$E$7=2,"D","☾"))</f>
        <v>🌗</v>
      </c>
    </row>
    <row r="749" spans="9:10" x14ac:dyDescent="0.2">
      <c r="I749" s="209">
        <v>46394</v>
      </c>
      <c r="J749" s="418" t="str">
        <f>IF(Introduction!$E$7=1,"🌑",IF(Introduction!$E$7=2,"N","⚉"))</f>
        <v>🌑</v>
      </c>
    </row>
    <row r="750" spans="9:10" x14ac:dyDescent="0.2">
      <c r="I750" s="209">
        <v>46402</v>
      </c>
      <c r="J750" s="418" t="str">
        <f>IF(Introduction!$E$7=1,"🌓",IF(Introduction!$E$7=2,"P","☽"))</f>
        <v>🌓</v>
      </c>
    </row>
    <row r="751" spans="9:10" x14ac:dyDescent="0.2">
      <c r="I751" s="209">
        <v>46409</v>
      </c>
      <c r="J751" s="418" t="str">
        <f>IF(Introduction!$E$7=1,"🌕",IF(Introduction!$E$7=2,"O","⚇"))</f>
        <v>🌕</v>
      </c>
    </row>
    <row r="752" spans="9:10" x14ac:dyDescent="0.2">
      <c r="I752" s="209">
        <v>46416</v>
      </c>
      <c r="J752" s="418" t="str">
        <f>IF(Introduction!$E$7=1,"🌗",IF(Introduction!$E$7=2,"D","☾"))</f>
        <v>🌗</v>
      </c>
    </row>
    <row r="753" spans="9:10" x14ac:dyDescent="0.2">
      <c r="I753" s="209">
        <v>46424</v>
      </c>
      <c r="J753" s="418" t="str">
        <f>IF(Introduction!$E$7=1,"🌑",IF(Introduction!$E$7=2,"N","⚉"))</f>
        <v>🌑</v>
      </c>
    </row>
    <row r="754" spans="9:10" x14ac:dyDescent="0.2">
      <c r="I754" s="209">
        <v>46432</v>
      </c>
      <c r="J754" s="418" t="str">
        <f>IF(Introduction!$E$7=1,"🌓",IF(Introduction!$E$7=2,"P","☽"))</f>
        <v>🌓</v>
      </c>
    </row>
    <row r="755" spans="9:10" x14ac:dyDescent="0.2">
      <c r="I755" s="209">
        <v>46438</v>
      </c>
      <c r="J755" s="418" t="str">
        <f>IF(Introduction!$E$7=1,"🌕",IF(Introduction!$E$7=2,"O","⚇"))</f>
        <v>🌕</v>
      </c>
    </row>
    <row r="756" spans="9:10" x14ac:dyDescent="0.2">
      <c r="I756" s="209">
        <v>46446</v>
      </c>
      <c r="J756" s="418" t="str">
        <f>IF(Introduction!$E$7=1,"🌗",IF(Introduction!$E$7=2,"D","☾"))</f>
        <v>🌗</v>
      </c>
    </row>
    <row r="757" spans="9:10" x14ac:dyDescent="0.2">
      <c r="I757" s="209">
        <v>46454</v>
      </c>
      <c r="J757" s="418" t="str">
        <f>IF(Introduction!$E$7=1,"🌑",IF(Introduction!$E$7=2,"N","⚉"))</f>
        <v>🌑</v>
      </c>
    </row>
    <row r="758" spans="9:10" x14ac:dyDescent="0.2">
      <c r="I758" s="209">
        <v>46461</v>
      </c>
      <c r="J758" s="418" t="str">
        <f>IF(Introduction!$E$7=1,"🌓",IF(Introduction!$E$7=2,"P","☽"))</f>
        <v>🌓</v>
      </c>
    </row>
    <row r="759" spans="9:10" x14ac:dyDescent="0.2">
      <c r="I759" s="209">
        <v>46468</v>
      </c>
      <c r="J759" s="418" t="str">
        <f>IF(Introduction!$E$7=1,"🌕",IF(Introduction!$E$7=2,"O","⚇"))</f>
        <v>🌕</v>
      </c>
    </row>
    <row r="760" spans="9:10" x14ac:dyDescent="0.2">
      <c r="I760" s="209">
        <v>46476</v>
      </c>
      <c r="J760" s="418" t="str">
        <f>IF(Introduction!$E$7=1,"🌗",IF(Introduction!$E$7=2,"D","☾"))</f>
        <v>🌗</v>
      </c>
    </row>
    <row r="761" spans="9:10" x14ac:dyDescent="0.2">
      <c r="I761" s="209">
        <v>46483</v>
      </c>
      <c r="J761" s="418" t="str">
        <f>IF(Introduction!$E$7=1,"🌑",IF(Introduction!$E$7=2,"N","⚉"))</f>
        <v>🌑</v>
      </c>
    </row>
    <row r="762" spans="9:10" x14ac:dyDescent="0.2">
      <c r="I762" s="209">
        <v>46490</v>
      </c>
      <c r="J762" s="418" t="str">
        <f>IF(Introduction!$E$7=1,"🌓",IF(Introduction!$E$7=2,"P","☽"))</f>
        <v>🌓</v>
      </c>
    </row>
    <row r="763" spans="9:10" x14ac:dyDescent="0.2">
      <c r="I763" s="209">
        <v>46497</v>
      </c>
      <c r="J763" s="418" t="str">
        <f>IF(Introduction!$E$7=1,"🌕",IF(Introduction!$E$7=2,"O","⚇"))</f>
        <v>🌕</v>
      </c>
    </row>
    <row r="764" spans="9:10" x14ac:dyDescent="0.2">
      <c r="I764" s="209">
        <v>46505</v>
      </c>
      <c r="J764" s="418" t="str">
        <f>IF(Introduction!$E$7=1,"🌗",IF(Introduction!$E$7=2,"D","☾"))</f>
        <v>🌗</v>
      </c>
    </row>
    <row r="765" spans="9:10" x14ac:dyDescent="0.2">
      <c r="I765" s="209">
        <v>46513</v>
      </c>
      <c r="J765" s="418" t="str">
        <f>IF(Introduction!$E$7=1,"🌑",IF(Introduction!$E$7=2,"N","⚉"))</f>
        <v>🌑</v>
      </c>
    </row>
    <row r="766" spans="9:10" x14ac:dyDescent="0.2">
      <c r="I766" s="209">
        <v>46520</v>
      </c>
      <c r="J766" s="418" t="str">
        <f>IF(Introduction!$E$7=1,"🌓",IF(Introduction!$E$7=2,"P","☽"))</f>
        <v>🌓</v>
      </c>
    </row>
    <row r="767" spans="9:10" x14ac:dyDescent="0.2">
      <c r="I767" s="209">
        <v>46527</v>
      </c>
      <c r="J767" s="418" t="str">
        <f>IF(Introduction!$E$7=1,"🌕",IF(Introduction!$E$7=2,"O","⚇"))</f>
        <v>🌕</v>
      </c>
    </row>
    <row r="768" spans="9:10" x14ac:dyDescent="0.2">
      <c r="I768" s="209">
        <v>46535</v>
      </c>
      <c r="J768" s="418" t="str">
        <f>IF(Introduction!$E$7=1,"🌗",IF(Introduction!$E$7=2,"D","☾"))</f>
        <v>🌗</v>
      </c>
    </row>
    <row r="769" spans="9:10" x14ac:dyDescent="0.2">
      <c r="I769" s="209">
        <v>46542</v>
      </c>
      <c r="J769" s="418" t="str">
        <f>IF(Introduction!$E$7=1,"🌑",IF(Introduction!$E$7=2,"N","⚉"))</f>
        <v>🌑</v>
      </c>
    </row>
    <row r="770" spans="9:10" x14ac:dyDescent="0.2">
      <c r="I770" s="209">
        <v>46549</v>
      </c>
      <c r="J770" s="418" t="str">
        <f>IF(Introduction!$E$7=1,"🌓",IF(Introduction!$E$7=2,"P","☽"))</f>
        <v>🌓</v>
      </c>
    </row>
    <row r="771" spans="9:10" x14ac:dyDescent="0.2">
      <c r="I771" s="209">
        <v>46557</v>
      </c>
      <c r="J771" s="418" t="str">
        <f>IF(Introduction!$E$7=1,"🌕",IF(Introduction!$E$7=2,"O","⚇"))</f>
        <v>🌕</v>
      </c>
    </row>
    <row r="772" spans="9:10" x14ac:dyDescent="0.2">
      <c r="I772" s="209">
        <v>46565</v>
      </c>
      <c r="J772" s="418" t="str">
        <f>IF(Introduction!$E$7=1,"🌗",IF(Introduction!$E$7=2,"D","☾"))</f>
        <v>🌗</v>
      </c>
    </row>
    <row r="773" spans="9:10" x14ac:dyDescent="0.2">
      <c r="I773" s="209">
        <v>46572</v>
      </c>
      <c r="J773" s="418" t="str">
        <f>IF(Introduction!$E$7=1,"🌑",IF(Introduction!$E$7=2,"N","⚉"))</f>
        <v>🌑</v>
      </c>
    </row>
    <row r="774" spans="9:10" x14ac:dyDescent="0.2">
      <c r="I774" s="209">
        <v>46578</v>
      </c>
      <c r="J774" s="418" t="str">
        <f>IF(Introduction!$E$7=1,"🌓",IF(Introduction!$E$7=2,"P","☽"))</f>
        <v>🌓</v>
      </c>
    </row>
    <row r="775" spans="9:10" x14ac:dyDescent="0.2">
      <c r="I775" s="209">
        <v>46586</v>
      </c>
      <c r="J775" s="418" t="str">
        <f>IF(Introduction!$E$7=1,"🌕",IF(Introduction!$E$7=2,"O","⚇"))</f>
        <v>🌕</v>
      </c>
    </row>
    <row r="776" spans="9:10" x14ac:dyDescent="0.2">
      <c r="I776" s="209">
        <v>46594</v>
      </c>
      <c r="J776" s="418" t="str">
        <f>IF(Introduction!$E$7=1,"🌗",IF(Introduction!$E$7=2,"D","☾"))</f>
        <v>🌗</v>
      </c>
    </row>
    <row r="777" spans="9:10" x14ac:dyDescent="0.2">
      <c r="I777" s="209">
        <v>46601</v>
      </c>
      <c r="J777" s="418" t="str">
        <f>IF(Introduction!$E$7=1,"🌑",IF(Introduction!$E$7=2,"N","⚉"))</f>
        <v>🌑</v>
      </c>
    </row>
    <row r="778" spans="9:10" x14ac:dyDescent="0.2">
      <c r="I778" s="209">
        <v>46608</v>
      </c>
      <c r="J778" s="418" t="str">
        <f>IF(Introduction!$E$7=1,"🌓",IF(Introduction!$E$7=2,"P","☽"))</f>
        <v>🌓</v>
      </c>
    </row>
    <row r="779" spans="9:10" x14ac:dyDescent="0.2">
      <c r="I779" s="209">
        <v>46616</v>
      </c>
      <c r="J779" s="418" t="str">
        <f>IF(Introduction!$E$7=1,"🌕",IF(Introduction!$E$7=2,"O","⚇"))</f>
        <v>🌕</v>
      </c>
    </row>
    <row r="780" spans="9:10" x14ac:dyDescent="0.2">
      <c r="I780" s="209">
        <v>46624</v>
      </c>
      <c r="J780" s="418" t="str">
        <f>IF(Introduction!$E$7=1,"🌗",IF(Introduction!$E$7=2,"D","☾"))</f>
        <v>🌗</v>
      </c>
    </row>
    <row r="781" spans="9:10" x14ac:dyDescent="0.2">
      <c r="I781" s="209">
        <v>46630</v>
      </c>
      <c r="J781" s="418" t="str">
        <f>IF(Introduction!$E$7=1,"🌑",IF(Introduction!$E$7=2,"N","⚉"))</f>
        <v>🌑</v>
      </c>
    </row>
    <row r="782" spans="9:10" x14ac:dyDescent="0.2">
      <c r="I782" s="209">
        <v>46637</v>
      </c>
      <c r="J782" s="418" t="str">
        <f>IF(Introduction!$E$7=1,"🌓",IF(Introduction!$E$7=2,"P","☽"))</f>
        <v>🌓</v>
      </c>
    </row>
    <row r="783" spans="9:10" x14ac:dyDescent="0.2">
      <c r="I783" s="209">
        <v>46645</v>
      </c>
      <c r="J783" s="418" t="str">
        <f>IF(Introduction!$E$7=1,"🌕",IF(Introduction!$E$7=2,"O","⚇"))</f>
        <v>🌕</v>
      </c>
    </row>
    <row r="784" spans="9:10" x14ac:dyDescent="0.2">
      <c r="I784" s="209">
        <v>46653</v>
      </c>
      <c r="J784" s="418" t="str">
        <f>IF(Introduction!$E$7=1,"🌗",IF(Introduction!$E$7=2,"D","☾"))</f>
        <v>🌗</v>
      </c>
    </row>
    <row r="785" spans="9:10" x14ac:dyDescent="0.2">
      <c r="I785" s="209">
        <v>46660</v>
      </c>
      <c r="J785" s="418" t="str">
        <f>IF(Introduction!$E$7=1,"🌑",IF(Introduction!$E$7=2,"N","⚉"))</f>
        <v>🌑</v>
      </c>
    </row>
    <row r="786" spans="9:10" x14ac:dyDescent="0.2">
      <c r="I786" s="209">
        <v>46667</v>
      </c>
      <c r="J786" s="418" t="str">
        <f>IF(Introduction!$E$7=1,"🌓",IF(Introduction!$E$7=2,"P","☽"))</f>
        <v>🌓</v>
      </c>
    </row>
    <row r="787" spans="9:10" x14ac:dyDescent="0.2">
      <c r="I787" s="209">
        <v>46675</v>
      </c>
      <c r="J787" s="418" t="str">
        <f>IF(Introduction!$E$7=1,"🌕",IF(Introduction!$E$7=2,"O","⚇"))</f>
        <v>🌕</v>
      </c>
    </row>
    <row r="788" spans="9:10" x14ac:dyDescent="0.2">
      <c r="I788" s="209">
        <v>46682</v>
      </c>
      <c r="J788" s="418" t="str">
        <f>IF(Introduction!$E$7=1,"🌗",IF(Introduction!$E$7=2,"D","☾"))</f>
        <v>🌗</v>
      </c>
    </row>
    <row r="789" spans="9:10" x14ac:dyDescent="0.2">
      <c r="I789" s="209">
        <v>46689</v>
      </c>
      <c r="J789" s="418" t="str">
        <f>IF(Introduction!$E$7=1,"🌑",IF(Introduction!$E$7=2,"N","⚉"))</f>
        <v>🌑</v>
      </c>
    </row>
    <row r="790" spans="9:10" x14ac:dyDescent="0.2">
      <c r="I790" s="209">
        <v>46697</v>
      </c>
      <c r="J790" s="418" t="str">
        <f>IF(Introduction!$E$7=1,"🌓",IF(Introduction!$E$7=2,"P","☽"))</f>
        <v>🌓</v>
      </c>
    </row>
    <row r="791" spans="9:10" x14ac:dyDescent="0.2">
      <c r="I791" s="209">
        <v>46705</v>
      </c>
      <c r="J791" s="418" t="str">
        <f>IF(Introduction!$E$7=1,"🌕",IF(Introduction!$E$7=2,"O","⚇"))</f>
        <v>🌕</v>
      </c>
    </row>
    <row r="792" spans="9:10" x14ac:dyDescent="0.2">
      <c r="I792" s="209">
        <v>46712</v>
      </c>
      <c r="J792" s="418" t="str">
        <f>IF(Introduction!$E$7=1,"🌗",IF(Introduction!$E$7=2,"D","☾"))</f>
        <v>🌗</v>
      </c>
    </row>
    <row r="793" spans="9:10" x14ac:dyDescent="0.2">
      <c r="I793" s="209">
        <v>46719</v>
      </c>
      <c r="J793" s="418" t="str">
        <f>IF(Introduction!$E$7=1,"🌑",IF(Introduction!$E$7=2,"N","⚉"))</f>
        <v>🌑</v>
      </c>
    </row>
    <row r="794" spans="9:10" x14ac:dyDescent="0.2">
      <c r="I794" s="209">
        <v>46727</v>
      </c>
      <c r="J794" s="418" t="str">
        <f>IF(Introduction!$E$7=1,"🌓",IF(Introduction!$E$7=2,"P","☽"))</f>
        <v>🌓</v>
      </c>
    </row>
    <row r="795" spans="9:10" x14ac:dyDescent="0.2">
      <c r="I795" s="209">
        <v>46734</v>
      </c>
      <c r="J795" s="418" t="str">
        <f>IF(Introduction!$E$7=1,"🌕",IF(Introduction!$E$7=2,"O","⚇"))</f>
        <v>🌕</v>
      </c>
    </row>
    <row r="796" spans="9:10" x14ac:dyDescent="0.2">
      <c r="I796" s="209">
        <v>46741</v>
      </c>
      <c r="J796" s="418" t="str">
        <f>IF(Introduction!$E$7=1,"🌗",IF(Introduction!$E$7=2,"D","☾"))</f>
        <v>🌗</v>
      </c>
    </row>
    <row r="797" spans="9:10" x14ac:dyDescent="0.2">
      <c r="I797" s="209">
        <v>46748</v>
      </c>
      <c r="J797" s="418" t="str">
        <f>IF(Introduction!$E$7=1,"🌑",IF(Introduction!$E$7=2,"N","⚉"))</f>
        <v>🌑</v>
      </c>
    </row>
    <row r="798" spans="9:10" x14ac:dyDescent="0.2">
      <c r="I798" s="209">
        <v>46757</v>
      </c>
      <c r="J798" s="418" t="str">
        <f>IF(Introduction!$E$7=1,"🌓",IF(Introduction!$E$7=2,"P","☽"))</f>
        <v>🌓</v>
      </c>
    </row>
    <row r="799" spans="9:10" x14ac:dyDescent="0.2">
      <c r="I799" s="209">
        <v>46764</v>
      </c>
      <c r="J799" s="418" t="str">
        <f>IF(Introduction!$E$7=1,"🌕",IF(Introduction!$E$7=2,"O","⚇"))</f>
        <v>🌕</v>
      </c>
    </row>
    <row r="800" spans="9:10" x14ac:dyDescent="0.2">
      <c r="I800" s="209">
        <v>46770</v>
      </c>
      <c r="J800" s="418" t="str">
        <f>IF(Introduction!$E$7=1,"🌗",IF(Introduction!$E$7=2,"D","☾"))</f>
        <v>🌗</v>
      </c>
    </row>
    <row r="801" spans="9:10" x14ac:dyDescent="0.2">
      <c r="I801" s="209">
        <v>46778</v>
      </c>
      <c r="J801" s="418" t="str">
        <f>IF(Introduction!$E$7=1,"🌑",IF(Introduction!$E$7=2,"N","⚉"))</f>
        <v>🌑</v>
      </c>
    </row>
    <row r="802" spans="9:10" x14ac:dyDescent="0.2">
      <c r="I802" s="209">
        <v>46786</v>
      </c>
      <c r="J802" s="418" t="str">
        <f>IF(Introduction!$E$7=1,"🌓",IF(Introduction!$E$7=2,"P","☽"))</f>
        <v>🌓</v>
      </c>
    </row>
    <row r="803" spans="9:10" x14ac:dyDescent="0.2">
      <c r="I803" s="209">
        <v>46793</v>
      </c>
      <c r="J803" s="418" t="str">
        <f>IF(Introduction!$E$7=1,"🌕",IF(Introduction!$E$7=2,"O","⚇"))</f>
        <v>🌕</v>
      </c>
    </row>
    <row r="804" spans="9:10" x14ac:dyDescent="0.2">
      <c r="I804" s="209">
        <v>46800</v>
      </c>
      <c r="J804" s="418" t="str">
        <f>IF(Introduction!$E$7=1,"🌗",IF(Introduction!$E$7=2,"D","☾"))</f>
        <v>🌗</v>
      </c>
    </row>
    <row r="805" spans="9:10" x14ac:dyDescent="0.2">
      <c r="I805" s="209">
        <v>46808</v>
      </c>
      <c r="J805" s="418" t="str">
        <f>IF(Introduction!$E$7=1,"🌑",IF(Introduction!$E$7=2,"N","⚉"))</f>
        <v>🌑</v>
      </c>
    </row>
    <row r="806" spans="9:10" x14ac:dyDescent="0.2">
      <c r="I806" s="209">
        <v>46816</v>
      </c>
      <c r="J806" s="418" t="str">
        <f>IF(Introduction!$E$7=1,"🌓",IF(Introduction!$E$7=2,"P","☽"))</f>
        <v>🌓</v>
      </c>
    </row>
    <row r="807" spans="9:10" x14ac:dyDescent="0.2">
      <c r="I807" s="209">
        <v>46823</v>
      </c>
      <c r="J807" s="418" t="str">
        <f>IF(Introduction!$E$7=1,"🌕",IF(Introduction!$E$7=2,"O","⚇"))</f>
        <v>🌕</v>
      </c>
    </row>
    <row r="808" spans="9:10" x14ac:dyDescent="0.2">
      <c r="I808" s="209">
        <v>46829</v>
      </c>
      <c r="J808" s="418" t="str">
        <f>IF(Introduction!$E$7=1,"🌗",IF(Introduction!$E$7=2,"D","☾"))</f>
        <v>🌗</v>
      </c>
    </row>
    <row r="809" spans="9:10" x14ac:dyDescent="0.2">
      <c r="I809" s="209">
        <v>46838</v>
      </c>
      <c r="J809" s="418" t="str">
        <f>IF(Introduction!$E$7=1,"🌑",IF(Introduction!$E$7=2,"N","⚉"))</f>
        <v>🌑</v>
      </c>
    </row>
    <row r="810" spans="9:10" x14ac:dyDescent="0.2">
      <c r="I810" s="209">
        <v>46845</v>
      </c>
      <c r="J810" s="418" t="str">
        <f>IF(Introduction!$E$7=1,"🌓",IF(Introduction!$E$7=2,"P","☽"))</f>
        <v>🌓</v>
      </c>
    </row>
    <row r="811" spans="9:10" x14ac:dyDescent="0.2">
      <c r="I811" s="209">
        <v>46852</v>
      </c>
      <c r="J811" s="418" t="str">
        <f>IF(Introduction!$E$7=1,"🌕",IF(Introduction!$E$7=2,"O","⚇"))</f>
        <v>🌕</v>
      </c>
    </row>
    <row r="812" spans="9:10" x14ac:dyDescent="0.2">
      <c r="I812" s="209">
        <v>46859</v>
      </c>
      <c r="J812" s="418" t="str">
        <f>IF(Introduction!$E$7=1,"🌗",IF(Introduction!$E$7=2,"D","☾"))</f>
        <v>🌗</v>
      </c>
    </row>
    <row r="813" spans="9:10" x14ac:dyDescent="0.2">
      <c r="I813" s="209">
        <v>46867</v>
      </c>
      <c r="J813" s="418" t="str">
        <f>IF(Introduction!$E$7=1,"🌑",IF(Introduction!$E$7=2,"N","⚉"))</f>
        <v>🌑</v>
      </c>
    </row>
    <row r="814" spans="9:10" x14ac:dyDescent="0.2">
      <c r="I814" s="209">
        <v>46875</v>
      </c>
      <c r="J814" s="418" t="str">
        <f>IF(Introduction!$E$7=1,"🌓",IF(Introduction!$E$7=2,"P","☽"))</f>
        <v>🌓</v>
      </c>
    </row>
    <row r="815" spans="9:10" x14ac:dyDescent="0.2">
      <c r="I815" s="209">
        <v>46881</v>
      </c>
      <c r="J815" s="418" t="str">
        <f>IF(Introduction!$E$7=1,"🌕",IF(Introduction!$E$7=2,"O","⚇"))</f>
        <v>🌕</v>
      </c>
    </row>
    <row r="816" spans="9:10" x14ac:dyDescent="0.2">
      <c r="I816" s="209">
        <v>46889</v>
      </c>
      <c r="J816" s="418" t="str">
        <f>IF(Introduction!$E$7=1,"🌗",IF(Introduction!$E$7=2,"D","☾"))</f>
        <v>🌗</v>
      </c>
    </row>
    <row r="817" spans="9:10" x14ac:dyDescent="0.2">
      <c r="I817" s="209">
        <v>46897</v>
      </c>
      <c r="J817" s="418" t="str">
        <f>IF(Introduction!$E$7=1,"🌑",IF(Introduction!$E$7=2,"N","⚉"))</f>
        <v>🌑</v>
      </c>
    </row>
    <row r="818" spans="9:10" x14ac:dyDescent="0.2">
      <c r="I818" s="209">
        <v>46904</v>
      </c>
      <c r="J818" s="418" t="str">
        <f>IF(Introduction!$E$7=1,"🌓",IF(Introduction!$E$7=2,"P","☽"))</f>
        <v>🌓</v>
      </c>
    </row>
    <row r="819" spans="9:10" x14ac:dyDescent="0.2">
      <c r="I819" s="209">
        <v>46911</v>
      </c>
      <c r="J819" s="418" t="str">
        <f>IF(Introduction!$E$7=1,"🌕",IF(Introduction!$E$7=2,"O","⚇"))</f>
        <v>🌕</v>
      </c>
    </row>
    <row r="820" spans="9:10" x14ac:dyDescent="0.2">
      <c r="I820" s="209">
        <v>46919</v>
      </c>
      <c r="J820" s="418" t="str">
        <f>IF(Introduction!$E$7=1,"🌗",IF(Introduction!$E$7=2,"D","☾"))</f>
        <v>🌗</v>
      </c>
    </row>
    <row r="821" spans="9:10" x14ac:dyDescent="0.2">
      <c r="I821" s="209">
        <v>46926</v>
      </c>
      <c r="J821" s="418" t="str">
        <f>IF(Introduction!$E$7=1,"🌑",IF(Introduction!$E$7=2,"N","⚉"))</f>
        <v>🌑</v>
      </c>
    </row>
    <row r="822" spans="9:10" x14ac:dyDescent="0.2">
      <c r="I822" s="209">
        <v>46933</v>
      </c>
      <c r="J822" s="418" t="str">
        <f>IF(Introduction!$E$7=1,"🌓",IF(Introduction!$E$7=2,"P","☽"))</f>
        <v>🌓</v>
      </c>
    </row>
    <row r="823" spans="9:10" x14ac:dyDescent="0.2">
      <c r="I823" s="209">
        <v>46940</v>
      </c>
      <c r="J823" s="418" t="str">
        <f>IF(Introduction!$E$7=1,"🌕",IF(Introduction!$E$7=2,"O","⚇"))</f>
        <v>🌕</v>
      </c>
    </row>
    <row r="824" spans="9:10" x14ac:dyDescent="0.2">
      <c r="I824" s="209">
        <v>46948</v>
      </c>
      <c r="J824" s="418" t="str">
        <f>IF(Introduction!$E$7=1,"🌗",IF(Introduction!$E$7=2,"D","☾"))</f>
        <v>🌗</v>
      </c>
    </row>
    <row r="825" spans="9:10" x14ac:dyDescent="0.2">
      <c r="I825" s="209">
        <v>46956</v>
      </c>
      <c r="J825" s="418" t="str">
        <f>IF(Introduction!$E$7=1,"🌑",IF(Introduction!$E$7=2,"N","⚉"))</f>
        <v>🌑</v>
      </c>
    </row>
    <row r="826" spans="9:10" x14ac:dyDescent="0.2">
      <c r="I826" s="209">
        <v>46962</v>
      </c>
      <c r="J826" s="418" t="str">
        <f>IF(Introduction!$E$7=1,"🌓",IF(Introduction!$E$7=2,"P","☽"))</f>
        <v>🌓</v>
      </c>
    </row>
    <row r="827" spans="9:10" x14ac:dyDescent="0.2">
      <c r="I827" s="209">
        <v>46970</v>
      </c>
      <c r="J827" s="418" t="str">
        <f>IF(Introduction!$E$7=1,"🌕",IF(Introduction!$E$7=2,"O","⚇"))</f>
        <v>🌕</v>
      </c>
    </row>
    <row r="828" spans="9:10" x14ac:dyDescent="0.2">
      <c r="I828" s="209">
        <v>46978</v>
      </c>
      <c r="J828" s="418" t="str">
        <f>IF(Introduction!$E$7=1,"🌗",IF(Introduction!$E$7=2,"D","☾"))</f>
        <v>🌗</v>
      </c>
    </row>
    <row r="829" spans="9:10" x14ac:dyDescent="0.2">
      <c r="I829" s="209">
        <v>46985</v>
      </c>
      <c r="J829" s="418" t="str">
        <f>IF(Introduction!$E$7=1,"🌑",IF(Introduction!$E$7=2,"N","⚉"))</f>
        <v>🌑</v>
      </c>
    </row>
    <row r="830" spans="9:10" x14ac:dyDescent="0.2">
      <c r="I830" s="209">
        <v>46992</v>
      </c>
      <c r="J830" s="418" t="str">
        <f>IF(Introduction!$E$7=1,"🌓",IF(Introduction!$E$7=2,"P","☽"))</f>
        <v>🌓</v>
      </c>
    </row>
    <row r="831" spans="9:10" x14ac:dyDescent="0.2">
      <c r="I831" s="209">
        <v>46999</v>
      </c>
      <c r="J831" s="418" t="str">
        <f>IF(Introduction!$E$7=1,"🌕",IF(Introduction!$E$7=2,"O","⚇"))</f>
        <v>🌕</v>
      </c>
    </row>
    <row r="832" spans="9:10" x14ac:dyDescent="0.2">
      <c r="I832" s="209">
        <v>47008</v>
      </c>
      <c r="J832" s="418" t="str">
        <f>IF(Introduction!$E$7=1,"🌗",IF(Introduction!$E$7=2,"D","☾"))</f>
        <v>🌗</v>
      </c>
    </row>
    <row r="833" spans="9:10" x14ac:dyDescent="0.2">
      <c r="I833" s="209">
        <v>47014</v>
      </c>
      <c r="J833" s="418" t="str">
        <f>IF(Introduction!$E$7=1,"🌑",IF(Introduction!$E$7=2,"N","⚉"))</f>
        <v>🌑</v>
      </c>
    </row>
    <row r="834" spans="9:10" x14ac:dyDescent="0.2">
      <c r="I834" s="209">
        <v>47021</v>
      </c>
      <c r="J834" s="418" t="str">
        <f>IF(Introduction!$E$7=1,"🌓",IF(Introduction!$E$7=2,"P","☽"))</f>
        <v>🌓</v>
      </c>
    </row>
    <row r="835" spans="9:10" x14ac:dyDescent="0.2">
      <c r="I835" s="209">
        <v>47029</v>
      </c>
      <c r="J835" s="418" t="str">
        <f>IF(Introduction!$E$7=1,"🌕",IF(Introduction!$E$7=2,"O","⚇"))</f>
        <v>🌕</v>
      </c>
    </row>
    <row r="836" spans="9:10" x14ac:dyDescent="0.2">
      <c r="I836" s="209">
        <v>47037</v>
      </c>
      <c r="J836" s="418" t="str">
        <f>IF(Introduction!$E$7=1,"🌗",IF(Introduction!$E$7=2,"D","☾"))</f>
        <v>🌗</v>
      </c>
    </row>
    <row r="837" spans="9:10" x14ac:dyDescent="0.2">
      <c r="I837" s="209">
        <v>47044</v>
      </c>
      <c r="J837" s="418" t="str">
        <f>IF(Introduction!$E$7=1,"🌑",IF(Introduction!$E$7=2,"N","⚉"))</f>
        <v>🌑</v>
      </c>
    </row>
    <row r="838" spans="9:10" x14ac:dyDescent="0.2">
      <c r="I838" s="209">
        <v>47051</v>
      </c>
      <c r="J838" s="418" t="str">
        <f>IF(Introduction!$E$7=1,"🌓",IF(Introduction!$E$7=2,"P","☽"))</f>
        <v>🌓</v>
      </c>
    </row>
    <row r="839" spans="9:10" x14ac:dyDescent="0.2">
      <c r="I839" s="209">
        <v>47059</v>
      </c>
      <c r="J839" s="418" t="str">
        <f>IF(Introduction!$E$7=1,"🌕",IF(Introduction!$E$7=2,"O","⚇"))</f>
        <v>🌕</v>
      </c>
    </row>
    <row r="840" spans="9:10" x14ac:dyDescent="0.2">
      <c r="I840" s="209">
        <v>47066</v>
      </c>
      <c r="J840" s="418" t="str">
        <f>IF(Introduction!$E$7=1,"🌗",IF(Introduction!$E$7=2,"D","☾"))</f>
        <v>🌗</v>
      </c>
    </row>
    <row r="841" spans="9:10" x14ac:dyDescent="0.2">
      <c r="I841" s="209">
        <v>47073</v>
      </c>
      <c r="J841" s="418" t="str">
        <f>IF(Introduction!$E$7=1,"🌑",IF(Introduction!$E$7=2,"N","⚉"))</f>
        <v>🌑</v>
      </c>
    </row>
    <row r="842" spans="9:10" x14ac:dyDescent="0.2">
      <c r="I842" s="209">
        <v>47081</v>
      </c>
      <c r="J842" s="418" t="str">
        <f>IF(Introduction!$E$7=1,"🌓",IF(Introduction!$E$7=2,"P","☽"))</f>
        <v>🌓</v>
      </c>
    </row>
    <row r="843" spans="9:10" x14ac:dyDescent="0.2">
      <c r="I843" s="209">
        <v>47089</v>
      </c>
      <c r="J843" s="418" t="str">
        <f>IF(Introduction!$E$7=1,"🌕",IF(Introduction!$E$7=2,"O","⚇"))</f>
        <v>🌕</v>
      </c>
    </row>
    <row r="844" spans="9:10" x14ac:dyDescent="0.2">
      <c r="I844" s="209">
        <v>47096</v>
      </c>
      <c r="J844" s="418" t="str">
        <f>IF(Introduction!$E$7=1,"🌗",IF(Introduction!$E$7=2,"D","☾"))</f>
        <v>🌗</v>
      </c>
    </row>
    <row r="845" spans="9:10" x14ac:dyDescent="0.2">
      <c r="I845" s="209">
        <v>47103</v>
      </c>
      <c r="J845" s="418" t="str">
        <f>IF(Introduction!$E$7=1,"🌑",IF(Introduction!$E$7=2,"N","⚉"))</f>
        <v>🌑</v>
      </c>
    </row>
    <row r="846" spans="9:10" x14ac:dyDescent="0.2">
      <c r="I846" s="209">
        <v>47110</v>
      </c>
      <c r="J846" s="418" t="str">
        <f>IF(Introduction!$E$7=1,"🌓",IF(Introduction!$E$7=2,"P","☽"))</f>
        <v>🌓</v>
      </c>
    </row>
    <row r="847" spans="9:10" x14ac:dyDescent="0.2">
      <c r="I847" s="209">
        <v>47118</v>
      </c>
      <c r="J847" s="418" t="str">
        <f>IF(Introduction!$E$7=1,"🌕",IF(Introduction!$E$7=2,"O","⚇"))</f>
        <v>🌕</v>
      </c>
    </row>
    <row r="848" spans="9:10" x14ac:dyDescent="0.2">
      <c r="I848" s="209">
        <v>47125</v>
      </c>
      <c r="J848" s="418" t="str">
        <f>IF(Introduction!$E$7=1,"🌗",IF(Introduction!$E$7=2,"D","☾"))</f>
        <v>🌗</v>
      </c>
    </row>
    <row r="849" spans="9:10" x14ac:dyDescent="0.2">
      <c r="I849" s="209">
        <v>47132</v>
      </c>
      <c r="J849" s="418" t="str">
        <f>IF(Introduction!$E$7=1,"🌑",IF(Introduction!$E$7=2,"N","⚉"))</f>
        <v>🌑</v>
      </c>
    </row>
    <row r="850" spans="9:10" x14ac:dyDescent="0.2">
      <c r="I850" s="209">
        <v>47140</v>
      </c>
      <c r="J850" s="418" t="str">
        <f>IF(Introduction!$E$7=1,"🌓",IF(Introduction!$E$7=2,"P","☽"))</f>
        <v>🌓</v>
      </c>
    </row>
    <row r="851" spans="9:10" x14ac:dyDescent="0.2">
      <c r="I851" s="209">
        <v>47148</v>
      </c>
      <c r="J851" s="418" t="str">
        <f>IF(Introduction!$E$7=1,"🌕",IF(Introduction!$E$7=2,"O","⚇"))</f>
        <v>🌕</v>
      </c>
    </row>
    <row r="852" spans="9:10" x14ac:dyDescent="0.2">
      <c r="I852" s="209">
        <v>47154</v>
      </c>
      <c r="J852" s="418" t="str">
        <f>IF(Introduction!$E$7=1,"🌗",IF(Introduction!$E$7=2,"D","☾"))</f>
        <v>🌗</v>
      </c>
    </row>
    <row r="853" spans="9:10" x14ac:dyDescent="0.2">
      <c r="I853" s="209">
        <v>47162</v>
      </c>
      <c r="J853" s="418" t="str">
        <f>IF(Introduction!$E$7=1,"🌑",IF(Introduction!$E$7=2,"N","⚉"))</f>
        <v>🌑</v>
      </c>
    </row>
    <row r="854" spans="9:10" x14ac:dyDescent="0.2">
      <c r="I854" s="209">
        <v>47170</v>
      </c>
      <c r="J854" s="418" t="str">
        <f>IF(Introduction!$E$7=1,"🌓",IF(Introduction!$E$7=2,"P","☽"))</f>
        <v>🌓</v>
      </c>
    </row>
    <row r="855" spans="9:10" x14ac:dyDescent="0.2">
      <c r="I855" s="209">
        <v>47177</v>
      </c>
      <c r="J855" s="418" t="str">
        <f>IF(Introduction!$E$7=1,"🌕",IF(Introduction!$E$7=2,"O","⚇"))</f>
        <v>🌕</v>
      </c>
    </row>
    <row r="856" spans="9:10" x14ac:dyDescent="0.2">
      <c r="I856" s="209">
        <v>47184</v>
      </c>
      <c r="J856" s="418" t="str">
        <f>IF(Introduction!$E$7=1,"🌗",IF(Introduction!$E$7=2,"D","☾"))</f>
        <v>🌗</v>
      </c>
    </row>
    <row r="857" spans="9:10" x14ac:dyDescent="0.2">
      <c r="I857" s="209">
        <v>47192</v>
      </c>
      <c r="J857" s="418" t="str">
        <f>IF(Introduction!$E$7=1,"🌑",IF(Introduction!$E$7=2,"N","⚉"))</f>
        <v>🌑</v>
      </c>
    </row>
    <row r="858" spans="9:10" x14ac:dyDescent="0.2">
      <c r="I858" s="209">
        <v>47200</v>
      </c>
      <c r="J858" s="418" t="str">
        <f>IF(Introduction!$E$7=1,"🌓",IF(Introduction!$E$7=2,"P","☽"))</f>
        <v>🌓</v>
      </c>
    </row>
    <row r="859" spans="9:10" x14ac:dyDescent="0.2">
      <c r="I859" s="209">
        <v>47207</v>
      </c>
      <c r="J859" s="418" t="str">
        <f>IF(Introduction!$E$7=1,"🌕",IF(Introduction!$E$7=2,"O","⚇"))</f>
        <v>🌕</v>
      </c>
    </row>
    <row r="860" spans="9:10" x14ac:dyDescent="0.2">
      <c r="I860" s="209">
        <v>47213</v>
      </c>
      <c r="J860" s="418" t="str">
        <f>IF(Introduction!$E$7=1,"🌗",IF(Introduction!$E$7=2,"D","☾"))</f>
        <v>🌗</v>
      </c>
    </row>
    <row r="861" spans="9:10" x14ac:dyDescent="0.2">
      <c r="I861" s="209">
        <v>47221</v>
      </c>
      <c r="J861" s="418" t="str">
        <f>IF(Introduction!$E$7=1,"🌑",IF(Introduction!$E$7=2,"N","⚉"))</f>
        <v>🌑</v>
      </c>
    </row>
    <row r="862" spans="9:10" x14ac:dyDescent="0.2">
      <c r="I862" s="209">
        <v>47229</v>
      </c>
      <c r="J862" s="418" t="str">
        <f>IF(Introduction!$E$7=1,"🌓",IF(Introduction!$E$7=2,"P","☽"))</f>
        <v>🌓</v>
      </c>
    </row>
    <row r="863" spans="9:10" x14ac:dyDescent="0.2">
      <c r="I863" s="209">
        <v>47236</v>
      </c>
      <c r="J863" s="418" t="str">
        <f>IF(Introduction!$E$7=1,"🌕",IF(Introduction!$E$7=2,"O","⚇"))</f>
        <v>🌕</v>
      </c>
    </row>
    <row r="864" spans="9:10" x14ac:dyDescent="0.2">
      <c r="I864" s="209">
        <v>47243</v>
      </c>
      <c r="J864" s="418" t="str">
        <f>IF(Introduction!$E$7=1,"🌗",IF(Introduction!$E$7=2,"D","☾"))</f>
        <v>🌗</v>
      </c>
    </row>
    <row r="865" spans="9:10" x14ac:dyDescent="0.2">
      <c r="I865" s="209">
        <v>47251</v>
      </c>
      <c r="J865" s="418" t="str">
        <f>IF(Introduction!$E$7=1,"🌑",IF(Introduction!$E$7=2,"N","⚉"))</f>
        <v>🌑</v>
      </c>
    </row>
    <row r="866" spans="9:10" x14ac:dyDescent="0.2">
      <c r="I866" s="209">
        <v>47259</v>
      </c>
      <c r="J866" s="418" t="str">
        <f>IF(Introduction!$E$7=1,"🌓",IF(Introduction!$E$7=2,"P","☽"))</f>
        <v>🌓</v>
      </c>
    </row>
    <row r="867" spans="9:10" x14ac:dyDescent="0.2">
      <c r="I867" s="209">
        <v>47265</v>
      </c>
      <c r="J867" s="418" t="str">
        <f>IF(Introduction!$E$7=1,"🌕",IF(Introduction!$E$7=2,"O","⚇"))</f>
        <v>🌕</v>
      </c>
    </row>
    <row r="868" spans="9:10" x14ac:dyDescent="0.2">
      <c r="I868" s="209">
        <v>47273</v>
      </c>
      <c r="J868" s="418" t="str">
        <f>IF(Introduction!$E$7=1,"🌗",IF(Introduction!$E$7=2,"D","☾"))</f>
        <v>🌗</v>
      </c>
    </row>
    <row r="869" spans="9:10" x14ac:dyDescent="0.2">
      <c r="I869" s="209">
        <v>47281</v>
      </c>
      <c r="J869" s="418" t="str">
        <f>IF(Introduction!$E$7=1,"🌑",IF(Introduction!$E$7=2,"N","⚉"))</f>
        <v>🌑</v>
      </c>
    </row>
    <row r="870" spans="9:10" x14ac:dyDescent="0.2">
      <c r="I870" s="209">
        <v>47288</v>
      </c>
      <c r="J870" s="418" t="str">
        <f>IF(Introduction!$E$7=1,"🌓",IF(Introduction!$E$7=2,"P","☽"))</f>
        <v>🌓</v>
      </c>
    </row>
    <row r="871" spans="9:10" x14ac:dyDescent="0.2">
      <c r="I871" s="209">
        <v>47295</v>
      </c>
      <c r="J871" s="418" t="str">
        <f>IF(Introduction!$E$7=1,"🌕",IF(Introduction!$E$7=2,"O","⚇"))</f>
        <v>🌕</v>
      </c>
    </row>
    <row r="872" spans="9:10" x14ac:dyDescent="0.2">
      <c r="I872" s="209">
        <v>47302</v>
      </c>
      <c r="J872" s="418" t="str">
        <f>IF(Introduction!$E$7=1,"🌗",IF(Introduction!$E$7=2,"D","☾"))</f>
        <v>🌗</v>
      </c>
    </row>
    <row r="873" spans="9:10" x14ac:dyDescent="0.2">
      <c r="I873" s="209">
        <v>47310</v>
      </c>
      <c r="J873" s="418" t="str">
        <f>IF(Introduction!$E$7=1,"🌑",IF(Introduction!$E$7=2,"N","⚉"))</f>
        <v>🌑</v>
      </c>
    </row>
    <row r="874" spans="9:10" x14ac:dyDescent="0.2">
      <c r="I874" s="209">
        <v>47317</v>
      </c>
      <c r="J874" s="418" t="str">
        <f>IF(Introduction!$E$7=1,"🌓",IF(Introduction!$E$7=2,"P","☽"))</f>
        <v>🌓</v>
      </c>
    </row>
    <row r="875" spans="9:10" x14ac:dyDescent="0.2">
      <c r="I875" s="209">
        <v>47324</v>
      </c>
      <c r="J875" s="418" t="str">
        <f>IF(Introduction!$E$7=1,"🌕",IF(Introduction!$E$7=2,"O","⚇"))</f>
        <v>🌕</v>
      </c>
    </row>
    <row r="876" spans="9:10" x14ac:dyDescent="0.2">
      <c r="I876" s="209">
        <v>47332</v>
      </c>
      <c r="J876" s="418" t="str">
        <f>IF(Introduction!$E$7=1,"🌗",IF(Introduction!$E$7=2,"D","☾"))</f>
        <v>🌗</v>
      </c>
    </row>
    <row r="877" spans="9:10" x14ac:dyDescent="0.2">
      <c r="I877" s="209">
        <v>47340</v>
      </c>
      <c r="J877" s="418" t="str">
        <f>IF(Introduction!$E$7=1,"🌑",IF(Introduction!$E$7=2,"N","⚉"))</f>
        <v>🌑</v>
      </c>
    </row>
    <row r="878" spans="9:10" x14ac:dyDescent="0.2">
      <c r="I878" s="209">
        <v>47346</v>
      </c>
      <c r="J878" s="418" t="str">
        <f>IF(Introduction!$E$7=1,"🌓",IF(Introduction!$E$7=2,"P","☽"))</f>
        <v>🌓</v>
      </c>
    </row>
    <row r="879" spans="9:10" x14ac:dyDescent="0.2">
      <c r="I879" s="209">
        <v>47354</v>
      </c>
      <c r="J879" s="418" t="str">
        <f>IF(Introduction!$E$7=1,"🌕",IF(Introduction!$E$7=2,"O","⚇"))</f>
        <v>🌕</v>
      </c>
    </row>
    <row r="880" spans="9:10" x14ac:dyDescent="0.2">
      <c r="I880" s="209">
        <v>47362</v>
      </c>
      <c r="J880" s="418" t="str">
        <f>IF(Introduction!$E$7=1,"🌗",IF(Introduction!$E$7=2,"D","☾"))</f>
        <v>🌗</v>
      </c>
    </row>
    <row r="881" spans="9:10" x14ac:dyDescent="0.2">
      <c r="I881" s="209">
        <v>47369</v>
      </c>
      <c r="J881" s="418" t="str">
        <f>IF(Introduction!$E$7=1,"🌑",IF(Introduction!$E$7=2,"N","⚉"))</f>
        <v>🌑</v>
      </c>
    </row>
    <row r="882" spans="9:10" x14ac:dyDescent="0.2">
      <c r="I882" s="209">
        <v>47376</v>
      </c>
      <c r="J882" s="418" t="str">
        <f>IF(Introduction!$E$7=1,"🌓",IF(Introduction!$E$7=2,"P","☽"))</f>
        <v>🌓</v>
      </c>
    </row>
    <row r="883" spans="9:10" x14ac:dyDescent="0.2">
      <c r="I883" s="209">
        <v>47383</v>
      </c>
      <c r="J883" s="418" t="str">
        <f>IF(Introduction!$E$7=1,"🌕",IF(Introduction!$E$7=2,"O","⚇"))</f>
        <v>🌕</v>
      </c>
    </row>
    <row r="884" spans="9:10" x14ac:dyDescent="0.2">
      <c r="I884" s="209">
        <v>47391</v>
      </c>
      <c r="J884" s="418" t="str">
        <f>IF(Introduction!$E$7=1,"🌗",IF(Introduction!$E$7=2,"D","☾"))</f>
        <v>🌗</v>
      </c>
    </row>
    <row r="885" spans="9:10" x14ac:dyDescent="0.2">
      <c r="I885" s="209">
        <v>47398</v>
      </c>
      <c r="J885" s="418" t="str">
        <f>IF(Introduction!$E$7=1,"🌑",IF(Introduction!$E$7=2,"N","⚉"))</f>
        <v>🌑</v>
      </c>
    </row>
    <row r="886" spans="9:10" x14ac:dyDescent="0.2">
      <c r="I886" s="209">
        <v>47405</v>
      </c>
      <c r="J886" s="418" t="str">
        <f>IF(Introduction!$E$7=1,"🌓",IF(Introduction!$E$7=2,"P","☽"))</f>
        <v>🌓</v>
      </c>
    </row>
    <row r="887" spans="9:10" x14ac:dyDescent="0.2">
      <c r="I887" s="209">
        <v>47413</v>
      </c>
      <c r="J887" s="418" t="str">
        <f>IF(Introduction!$E$7=1,"🌕",IF(Introduction!$E$7=2,"O","⚇"))</f>
        <v>🌕</v>
      </c>
    </row>
    <row r="888" spans="9:10" x14ac:dyDescent="0.2">
      <c r="I888" s="209">
        <v>47421</v>
      </c>
      <c r="J888" s="418" t="str">
        <f>IF(Introduction!$E$7=1,"🌗",IF(Introduction!$E$7=2,"D","☾"))</f>
        <v>🌗</v>
      </c>
    </row>
    <row r="889" spans="9:10" x14ac:dyDescent="0.2">
      <c r="I889" s="209">
        <v>47428</v>
      </c>
      <c r="J889" s="418" t="str">
        <f>IF(Introduction!$E$7=1,"🌑",IF(Introduction!$E$7=2,"N","⚉"))</f>
        <v>🌑</v>
      </c>
    </row>
    <row r="890" spans="9:10" x14ac:dyDescent="0.2">
      <c r="I890" s="209">
        <v>47435</v>
      </c>
      <c r="J890" s="418" t="str">
        <f>IF(Introduction!$E$7=1,"🌓",IF(Introduction!$E$7=2,"P","☽"))</f>
        <v>🌓</v>
      </c>
    </row>
    <row r="891" spans="9:10" x14ac:dyDescent="0.2">
      <c r="I891" s="209">
        <v>47443</v>
      </c>
      <c r="J891" s="418" t="str">
        <f>IF(Introduction!$E$7=1,"🌕",IF(Introduction!$E$7=2,"O","⚇"))</f>
        <v>🌕</v>
      </c>
    </row>
    <row r="892" spans="9:10" x14ac:dyDescent="0.2">
      <c r="I892" s="209">
        <v>47450</v>
      </c>
      <c r="J892" s="418" t="str">
        <f>IF(Introduction!$E$7=1,"🌗",IF(Introduction!$E$7=2,"D","☾"))</f>
        <v>🌗</v>
      </c>
    </row>
    <row r="893" spans="9:10" x14ac:dyDescent="0.2">
      <c r="I893" s="209">
        <v>47457</v>
      </c>
      <c r="J893" s="418" t="str">
        <f>IF(Introduction!$E$7=1,"🌑",IF(Introduction!$E$7=2,"N","⚉"))</f>
        <v>🌑</v>
      </c>
    </row>
    <row r="894" spans="9:10" x14ac:dyDescent="0.2">
      <c r="I894" s="209">
        <v>47464</v>
      </c>
      <c r="J894" s="418" t="str">
        <f>IF(Introduction!$E$7=1,"🌓",IF(Introduction!$E$7=2,"P","☽"))</f>
        <v>🌓</v>
      </c>
    </row>
    <row r="895" spans="9:10" x14ac:dyDescent="0.2">
      <c r="I895" s="209">
        <v>47472</v>
      </c>
      <c r="J895" s="418" t="str">
        <f>IF(Introduction!$E$7=1,"🌕",IF(Introduction!$E$7=2,"O","⚇"))</f>
        <v>🌕</v>
      </c>
    </row>
    <row r="896" spans="9:10" x14ac:dyDescent="0.2">
      <c r="I896" s="209">
        <v>47480</v>
      </c>
      <c r="J896" s="418" t="str">
        <f>IF(Introduction!$E$7=1,"🌗",IF(Introduction!$E$7=2,"D","☾"))</f>
        <v>🌗</v>
      </c>
    </row>
    <row r="897" spans="9:10" x14ac:dyDescent="0.2">
      <c r="I897" s="209">
        <v>10962</v>
      </c>
      <c r="J897" s="418" t="str">
        <f>IF(Introduction!$E$7=1,"🌑",IF(Introduction!$E$7=2,"N","⚉"))</f>
        <v>🌑</v>
      </c>
    </row>
    <row r="898" spans="9:10" x14ac:dyDescent="0.2">
      <c r="I898" s="209">
        <v>10969</v>
      </c>
      <c r="J898" s="418" t="str">
        <f>IF(Introduction!$E$7=1,"🌓",IF(Introduction!$E$7=2,"P","☽"))</f>
        <v>🌓</v>
      </c>
    </row>
    <row r="899" spans="9:10" x14ac:dyDescent="0.2">
      <c r="I899" s="209">
        <v>10977</v>
      </c>
      <c r="J899" s="418" t="str">
        <f>IF(Introduction!$E$7=1,"🌕",IF(Introduction!$E$7=2,"O","⚇"))</f>
        <v>🌕</v>
      </c>
    </row>
    <row r="900" spans="9:10" x14ac:dyDescent="0.2">
      <c r="I900" s="209">
        <v>10984</v>
      </c>
      <c r="J900" s="418" t="str">
        <f>IF(Introduction!$E$7=1,"🌗",IF(Introduction!$E$7=2,"D","☾"))</f>
        <v>🌗</v>
      </c>
    </row>
    <row r="901" spans="9:10" x14ac:dyDescent="0.2">
      <c r="I901" s="209">
        <v>10991</v>
      </c>
      <c r="J901" s="418" t="str">
        <f>IF(Introduction!$E$7=1,"🌑",IF(Introduction!$E$7=2,"N","⚉"))</f>
        <v>🌑</v>
      </c>
    </row>
    <row r="902" spans="9:10" x14ac:dyDescent="0.2">
      <c r="I902" s="209">
        <v>10999</v>
      </c>
      <c r="J902" s="418" t="str">
        <f>IF(Introduction!$E$7=1,"🌓",IF(Introduction!$E$7=2,"P","☽"))</f>
        <v>🌓</v>
      </c>
    </row>
    <row r="903" spans="9:10" x14ac:dyDescent="0.2">
      <c r="I903" s="209">
        <v>11007</v>
      </c>
      <c r="J903" s="418" t="str">
        <f>IF(Introduction!$E$7=1,"🌕",IF(Introduction!$E$7=2,"O","⚇"))</f>
        <v>🌕</v>
      </c>
    </row>
    <row r="904" spans="9:10" x14ac:dyDescent="0.2">
      <c r="I904" s="209">
        <v>11014</v>
      </c>
      <c r="J904" s="418" t="str">
        <f>IF(Introduction!$E$7=1,"🌗",IF(Introduction!$E$7=2,"D","☾"))</f>
        <v>🌗</v>
      </c>
    </row>
    <row r="905" spans="9:10" x14ac:dyDescent="0.2">
      <c r="I905" s="209">
        <v>11021</v>
      </c>
      <c r="J905" s="418" t="str">
        <f>IF(Introduction!$E$7=1,"🌑",IF(Introduction!$E$7=2,"N","⚉"))</f>
        <v>🌑</v>
      </c>
    </row>
    <row r="906" spans="9:10" x14ac:dyDescent="0.2">
      <c r="I906" s="209">
        <v>11029</v>
      </c>
      <c r="J906" s="418" t="str">
        <f>IF(Introduction!$E$7=1,"🌓",IF(Introduction!$E$7=2,"P","☽"))</f>
        <v>🌓</v>
      </c>
    </row>
    <row r="907" spans="9:10" x14ac:dyDescent="0.2">
      <c r="I907" s="209">
        <v>11036</v>
      </c>
      <c r="J907" s="418" t="str">
        <f>IF(Introduction!$E$7=1,"🌕",IF(Introduction!$E$7=2,"O","⚇"))</f>
        <v>🌕</v>
      </c>
    </row>
    <row r="908" spans="9:10" x14ac:dyDescent="0.2">
      <c r="I908" s="209">
        <v>11043</v>
      </c>
      <c r="J908" s="418" t="str">
        <f>IF(Introduction!$E$7=1,"🌗",IF(Introduction!$E$7=2,"D","☾"))</f>
        <v>🌗</v>
      </c>
    </row>
    <row r="909" spans="9:10" x14ac:dyDescent="0.2">
      <c r="I909" s="209">
        <v>11050</v>
      </c>
      <c r="J909" s="418" t="str">
        <f>IF(Introduction!$E$7=1,"🌑",IF(Introduction!$E$7=2,"N","⚉"))</f>
        <v>🌑</v>
      </c>
    </row>
    <row r="910" spans="9:10" x14ac:dyDescent="0.2">
      <c r="I910" s="209">
        <v>11059</v>
      </c>
      <c r="J910" s="418" t="str">
        <f>IF(Introduction!$E$7=1,"🌓",IF(Introduction!$E$7=2,"P","☽"))</f>
        <v>🌓</v>
      </c>
    </row>
    <row r="911" spans="9:10" x14ac:dyDescent="0.2">
      <c r="I911" s="209">
        <v>11066</v>
      </c>
      <c r="J911" s="418" t="str">
        <f>IF(Introduction!$E$7=1,"🌕",IF(Introduction!$E$7=2,"O","⚇"))</f>
        <v>🌕</v>
      </c>
    </row>
    <row r="912" spans="9:10" x14ac:dyDescent="0.2">
      <c r="I912" s="209">
        <v>11072</v>
      </c>
      <c r="J912" s="418" t="str">
        <f>IF(Introduction!$E$7=1,"🌗",IF(Introduction!$E$7=2,"D","☾"))</f>
        <v>🌗</v>
      </c>
    </row>
    <row r="913" spans="9:10" x14ac:dyDescent="0.2">
      <c r="I913" s="209">
        <v>11080</v>
      </c>
      <c r="J913" s="418" t="str">
        <f>IF(Introduction!$E$7=1,"🌑",IF(Introduction!$E$7=2,"N","⚉"))</f>
        <v>🌑</v>
      </c>
    </row>
    <row r="914" spans="9:10" x14ac:dyDescent="0.2">
      <c r="I914" s="209">
        <v>11088</v>
      </c>
      <c r="J914" s="418" t="str">
        <f>IF(Introduction!$E$7=1,"🌓",IF(Introduction!$E$7=2,"P","☽"))</f>
        <v>🌓</v>
      </c>
    </row>
    <row r="915" spans="9:10" x14ac:dyDescent="0.2">
      <c r="I915" s="209">
        <v>11095</v>
      </c>
      <c r="J915" s="418" t="str">
        <f>IF(Introduction!$E$7=1,"🌕",IF(Introduction!$E$7=2,"O","⚇"))</f>
        <v>🌕</v>
      </c>
    </row>
    <row r="916" spans="9:10" x14ac:dyDescent="0.2">
      <c r="I916" s="209">
        <v>11102</v>
      </c>
      <c r="J916" s="418" t="str">
        <f>IF(Introduction!$E$7=1,"🌗",IF(Introduction!$E$7=2,"D","☾"))</f>
        <v>🌗</v>
      </c>
    </row>
    <row r="917" spans="9:10" x14ac:dyDescent="0.2">
      <c r="I917" s="209">
        <v>11110</v>
      </c>
      <c r="J917" s="418" t="str">
        <f>IF(Introduction!$E$7=1,"🌑",IF(Introduction!$E$7=2,"N","⚉"))</f>
        <v>🌑</v>
      </c>
    </row>
    <row r="918" spans="9:10" x14ac:dyDescent="0.2">
      <c r="I918" s="209">
        <v>11118</v>
      </c>
      <c r="J918" s="418" t="str">
        <f>IF(Introduction!$E$7=1,"🌓",IF(Introduction!$E$7=2,"P","☽"))</f>
        <v>🌓</v>
      </c>
    </row>
    <row r="919" spans="9:10" x14ac:dyDescent="0.2">
      <c r="I919" s="209">
        <v>11124</v>
      </c>
      <c r="J919" s="418" t="str">
        <f>IF(Introduction!$E$7=1,"🌕",IF(Introduction!$E$7=2,"O","⚇"))</f>
        <v>🌕</v>
      </c>
    </row>
    <row r="920" spans="9:10" x14ac:dyDescent="0.2">
      <c r="I920" s="209">
        <v>11131</v>
      </c>
      <c r="J920" s="418" t="str">
        <f>IF(Introduction!$E$7=1,"🌗",IF(Introduction!$E$7=2,"D","☾"))</f>
        <v>🌗</v>
      </c>
    </row>
    <row r="921" spans="9:10" x14ac:dyDescent="0.2">
      <c r="I921" s="209">
        <v>11139</v>
      </c>
      <c r="J921" s="418" t="str">
        <f>IF(Introduction!$E$7=1,"🌑",IF(Introduction!$E$7=2,"N","⚉"))</f>
        <v>🌑</v>
      </c>
    </row>
    <row r="922" spans="9:10" x14ac:dyDescent="0.2">
      <c r="I922" s="209">
        <v>11147</v>
      </c>
      <c r="J922" s="418" t="str">
        <f>IF(Introduction!$E$7=1,"🌓",IF(Introduction!$E$7=2,"P","☽"))</f>
        <v>🌓</v>
      </c>
    </row>
    <row r="923" spans="9:10" x14ac:dyDescent="0.2">
      <c r="I923" s="209">
        <v>11154</v>
      </c>
      <c r="J923" s="418" t="str">
        <f>IF(Introduction!$E$7=1,"🌕",IF(Introduction!$E$7=2,"O","⚇"))</f>
        <v>🌕</v>
      </c>
    </row>
    <row r="924" spans="9:10" x14ac:dyDescent="0.2">
      <c r="I924" s="209">
        <v>11161</v>
      </c>
      <c r="J924" s="418" t="str">
        <f>IF(Introduction!$E$7=1,"🌗",IF(Introduction!$E$7=2,"D","☾"))</f>
        <v>🌗</v>
      </c>
    </row>
    <row r="925" spans="9:10" x14ac:dyDescent="0.2">
      <c r="I925" s="209">
        <v>11169</v>
      </c>
      <c r="J925" s="418" t="str">
        <f>IF(Introduction!$E$7=1,"🌑",IF(Introduction!$E$7=2,"N","⚉"))</f>
        <v>🌑</v>
      </c>
    </row>
    <row r="926" spans="9:10" x14ac:dyDescent="0.2">
      <c r="I926" s="209">
        <v>11176</v>
      </c>
      <c r="J926" s="418" t="str">
        <f>IF(Introduction!$E$7=1,"🌓",IF(Introduction!$E$7=2,"P","☽"))</f>
        <v>🌓</v>
      </c>
    </row>
    <row r="927" spans="9:10" x14ac:dyDescent="0.2">
      <c r="I927" s="209">
        <v>11183</v>
      </c>
      <c r="J927" s="418" t="str">
        <f>IF(Introduction!$E$7=1,"🌕",IF(Introduction!$E$7=2,"O","⚇"))</f>
        <v>🌕</v>
      </c>
    </row>
    <row r="928" spans="9:10" x14ac:dyDescent="0.2">
      <c r="I928" s="209">
        <v>11191</v>
      </c>
      <c r="J928" s="418" t="str">
        <f>IF(Introduction!$E$7=1,"🌗",IF(Introduction!$E$7=2,"D","☾"))</f>
        <v>🌗</v>
      </c>
    </row>
    <row r="929" spans="9:10" x14ac:dyDescent="0.2">
      <c r="I929" s="209">
        <v>11198</v>
      </c>
      <c r="J929" s="418" t="str">
        <f>IF(Introduction!$E$7=1,"🌑",IF(Introduction!$E$7=2,"N","⚉"))</f>
        <v>🌑</v>
      </c>
    </row>
    <row r="930" spans="9:10" x14ac:dyDescent="0.2">
      <c r="I930" s="209">
        <v>11205</v>
      </c>
      <c r="J930" s="418" t="str">
        <f>IF(Introduction!$E$7=1,"🌓",IF(Introduction!$E$7=2,"P","☽"))</f>
        <v>🌓</v>
      </c>
    </row>
    <row r="931" spans="9:10" x14ac:dyDescent="0.2">
      <c r="I931" s="209">
        <v>11212</v>
      </c>
      <c r="J931" s="418" t="str">
        <f>IF(Introduction!$E$7=1,"🌕",IF(Introduction!$E$7=2,"O","⚇"))</f>
        <v>🌕</v>
      </c>
    </row>
    <row r="932" spans="9:10" x14ac:dyDescent="0.2">
      <c r="I932" s="209">
        <v>11220</v>
      </c>
      <c r="J932" s="418" t="str">
        <f>IF(Introduction!$E$7=1,"🌗",IF(Introduction!$E$7=2,"D","☾"))</f>
        <v>🌗</v>
      </c>
    </row>
    <row r="933" spans="9:10" x14ac:dyDescent="0.2">
      <c r="I933" s="209">
        <v>11228</v>
      </c>
      <c r="J933" s="418" t="str">
        <f>IF(Introduction!$E$7=1,"🌑",IF(Introduction!$E$7=2,"N","⚉"))</f>
        <v>🌑</v>
      </c>
    </row>
    <row r="934" spans="9:10" x14ac:dyDescent="0.2">
      <c r="I934" s="209">
        <v>11235</v>
      </c>
      <c r="J934" s="418" t="str">
        <f>IF(Introduction!$E$7=1,"🌓",IF(Introduction!$E$7=2,"P","☽"))</f>
        <v>🌓</v>
      </c>
    </row>
    <row r="935" spans="9:10" x14ac:dyDescent="0.2">
      <c r="I935" s="209">
        <v>11242</v>
      </c>
      <c r="J935" s="418" t="str">
        <f>IF(Introduction!$E$7=1,"🌕",IF(Introduction!$E$7=2,"O","⚇"))</f>
        <v>🌕</v>
      </c>
    </row>
    <row r="936" spans="9:10" x14ac:dyDescent="0.2">
      <c r="I936" s="209">
        <v>11250</v>
      </c>
      <c r="J936" s="418" t="str">
        <f>IF(Introduction!$E$7=1,"🌗",IF(Introduction!$E$7=2,"D","☾"))</f>
        <v>🌗</v>
      </c>
    </row>
    <row r="937" spans="9:10" x14ac:dyDescent="0.2">
      <c r="I937" s="209">
        <v>11257</v>
      </c>
      <c r="J937" s="418" t="str">
        <f>IF(Introduction!$E$7=1,"🌑",IF(Introduction!$E$7=2,"N","⚉"))</f>
        <v>🌑</v>
      </c>
    </row>
    <row r="938" spans="9:10" x14ac:dyDescent="0.2">
      <c r="I938" s="209">
        <v>11264</v>
      </c>
      <c r="J938" s="418" t="str">
        <f>IF(Introduction!$E$7=1,"🌓",IF(Introduction!$E$7=2,"P","☽"))</f>
        <v>🌓</v>
      </c>
    </row>
    <row r="939" spans="9:10" x14ac:dyDescent="0.2">
      <c r="I939" s="209">
        <v>11272</v>
      </c>
      <c r="J939" s="418" t="str">
        <f>IF(Introduction!$E$7=1,"🌕",IF(Introduction!$E$7=2,"O","⚇"))</f>
        <v>🌕</v>
      </c>
    </row>
    <row r="940" spans="9:10" x14ac:dyDescent="0.2">
      <c r="I940" s="209">
        <v>11280</v>
      </c>
      <c r="J940" s="418" t="str">
        <f>IF(Introduction!$E$7=1,"🌗",IF(Introduction!$E$7=2,"D","☾"))</f>
        <v>🌗</v>
      </c>
    </row>
    <row r="941" spans="9:10" x14ac:dyDescent="0.2">
      <c r="I941" s="209">
        <v>11287</v>
      </c>
      <c r="J941" s="418" t="str">
        <f>IF(Introduction!$E$7=1,"🌑",IF(Introduction!$E$7=2,"N","⚉"))</f>
        <v>🌑</v>
      </c>
    </row>
    <row r="942" spans="9:10" x14ac:dyDescent="0.2">
      <c r="I942" s="209">
        <v>11293</v>
      </c>
      <c r="J942" s="418" t="str">
        <f>IF(Introduction!$E$7=1,"🌓",IF(Introduction!$E$7=2,"P","☽"))</f>
        <v>🌓</v>
      </c>
    </row>
    <row r="943" spans="9:10" x14ac:dyDescent="0.2">
      <c r="I943" s="209">
        <v>11301</v>
      </c>
      <c r="J943" s="418" t="str">
        <f>IF(Introduction!$E$7=1,"🌕",IF(Introduction!$E$7=2,"O","⚇"))</f>
        <v>🌕</v>
      </c>
    </row>
    <row r="944" spans="9:10" x14ac:dyDescent="0.2">
      <c r="I944" s="209">
        <v>11310</v>
      </c>
      <c r="J944" s="418" t="str">
        <f>IF(Introduction!$E$7=1,"🌗",IF(Introduction!$E$7=2,"D","☾"))</f>
        <v>🌗</v>
      </c>
    </row>
    <row r="945" spans="9:10" x14ac:dyDescent="0.2">
      <c r="I945" s="209">
        <v>11316</v>
      </c>
      <c r="J945" s="418" t="str">
        <f>IF(Introduction!$E$7=1,"🌑",IF(Introduction!$E$7=2,"N","⚉"))</f>
        <v>🌑</v>
      </c>
    </row>
    <row r="946" spans="9:10" x14ac:dyDescent="0.2">
      <c r="I946" s="209">
        <v>11323</v>
      </c>
      <c r="J946" s="418" t="str">
        <f>IF(Introduction!$E$7=1,"🌓",IF(Introduction!$E$7=2,"P","☽"))</f>
        <v>🌓</v>
      </c>
    </row>
    <row r="947" spans="9:10" x14ac:dyDescent="0.2">
      <c r="I947" s="209">
        <v>11331</v>
      </c>
      <c r="J947" s="418" t="str">
        <f>IF(Introduction!$E$7=1,"🌕",IF(Introduction!$E$7=2,"O","⚇"))</f>
        <v>🌕</v>
      </c>
    </row>
    <row r="948" spans="9:10" x14ac:dyDescent="0.2">
      <c r="I948" s="209">
        <v>11339</v>
      </c>
      <c r="J948" s="418" t="str">
        <f>IF(Introduction!$E$7=1,"🌗",IF(Introduction!$E$7=2,"D","☾"))</f>
        <v>🌗</v>
      </c>
    </row>
    <row r="949" spans="9:10" x14ac:dyDescent="0.2">
      <c r="I949" s="209">
        <v>11346</v>
      </c>
      <c r="J949" s="418" t="str">
        <f>IF(Introduction!$E$7=1,"🌑",IF(Introduction!$E$7=2,"N","⚉"))</f>
        <v>🌑</v>
      </c>
    </row>
    <row r="950" spans="9:10" x14ac:dyDescent="0.2">
      <c r="I950" s="209">
        <v>11353</v>
      </c>
      <c r="J950" s="418" t="str">
        <f>IF(Introduction!$E$7=1,"🌓",IF(Introduction!$E$7=2,"P","☽"))</f>
        <v>🌓</v>
      </c>
    </row>
    <row r="951" spans="9:10" x14ac:dyDescent="0.2">
      <c r="I951" s="209">
        <v>11361</v>
      </c>
      <c r="J951" s="418" t="str">
        <f>IF(Introduction!$E$7=1,"🌕",IF(Introduction!$E$7=2,"O","⚇"))</f>
        <v>🌕</v>
      </c>
    </row>
    <row r="952" spans="9:10" x14ac:dyDescent="0.2">
      <c r="I952" s="209">
        <v>11368</v>
      </c>
      <c r="J952" s="418" t="str">
        <f>IF(Introduction!$E$7=1,"🌗",IF(Introduction!$E$7=2,"D","☾"))</f>
        <v>🌗</v>
      </c>
    </row>
    <row r="953" spans="9:10" x14ac:dyDescent="0.2">
      <c r="I953" s="209">
        <v>11375</v>
      </c>
      <c r="J953" s="418" t="str">
        <f>IF(Introduction!$E$7=1,"🌑",IF(Introduction!$E$7=2,"N","⚉"))</f>
        <v>🌑</v>
      </c>
    </row>
    <row r="954" spans="9:10" x14ac:dyDescent="0.2">
      <c r="I954" s="209">
        <v>11383</v>
      </c>
      <c r="J954" s="418" t="str">
        <f>IF(Introduction!$E$7=1,"🌓",IF(Introduction!$E$7=2,"P","☽"))</f>
        <v>🌓</v>
      </c>
    </row>
    <row r="955" spans="9:10" x14ac:dyDescent="0.2">
      <c r="I955" s="209">
        <v>11391</v>
      </c>
      <c r="J955" s="418" t="str">
        <f>IF(Introduction!$E$7=1,"🌕",IF(Introduction!$E$7=2,"O","⚇"))</f>
        <v>🌕</v>
      </c>
    </row>
    <row r="956" spans="9:10" x14ac:dyDescent="0.2">
      <c r="I956" s="209">
        <v>11398</v>
      </c>
      <c r="J956" s="418" t="str">
        <f>IF(Introduction!$E$7=1,"🌗",IF(Introduction!$E$7=2,"D","☾"))</f>
        <v>🌗</v>
      </c>
    </row>
    <row r="957" spans="9:10" x14ac:dyDescent="0.2">
      <c r="I957" s="209">
        <v>11405</v>
      </c>
      <c r="J957" s="418" t="str">
        <f>IF(Introduction!$E$7=1,"🌑",IF(Introduction!$E$7=2,"N","⚉"))</f>
        <v>🌑</v>
      </c>
    </row>
    <row r="958" spans="9:10" x14ac:dyDescent="0.2">
      <c r="I958" s="209">
        <v>11413</v>
      </c>
      <c r="J958" s="418" t="str">
        <f>IF(Introduction!$E$7=1,"🌓",IF(Introduction!$E$7=2,"P","☽"))</f>
        <v>🌓</v>
      </c>
    </row>
    <row r="959" spans="9:10" x14ac:dyDescent="0.2">
      <c r="I959" s="209">
        <v>11420</v>
      </c>
      <c r="J959" s="418" t="str">
        <f>IF(Introduction!$E$7=1,"🌕",IF(Introduction!$E$7=2,"O","⚇"))</f>
        <v>🌕</v>
      </c>
    </row>
    <row r="960" spans="9:10" x14ac:dyDescent="0.2">
      <c r="I960" s="209">
        <v>11427</v>
      </c>
      <c r="J960" s="418" t="str">
        <f>IF(Introduction!$E$7=1,"🌗",IF(Introduction!$E$7=2,"D","☾"))</f>
        <v>🌗</v>
      </c>
    </row>
    <row r="961" spans="9:10" x14ac:dyDescent="0.2">
      <c r="I961" s="209">
        <v>11434</v>
      </c>
      <c r="J961" s="418" t="str">
        <f>IF(Introduction!$E$7=1,"🌑",IF(Introduction!$E$7=2,"N","⚉"))</f>
        <v>🌑</v>
      </c>
    </row>
    <row r="962" spans="9:10" x14ac:dyDescent="0.2">
      <c r="I962" s="209">
        <v>11442</v>
      </c>
      <c r="J962" s="418" t="str">
        <f>IF(Introduction!$E$7=1,"🌓",IF(Introduction!$E$7=2,"P","☽"))</f>
        <v>🌓</v>
      </c>
    </row>
    <row r="963" spans="9:10" x14ac:dyDescent="0.2">
      <c r="I963" s="209">
        <v>11450</v>
      </c>
      <c r="J963" s="418" t="str">
        <f>IF(Introduction!$E$7=1,"🌕",IF(Introduction!$E$7=2,"O","⚇"))</f>
        <v>🌕</v>
      </c>
    </row>
    <row r="964" spans="9:10" x14ac:dyDescent="0.2">
      <c r="I964" s="209">
        <v>11456</v>
      </c>
      <c r="J964" s="418" t="str">
        <f>IF(Introduction!$E$7=1,"🌗",IF(Introduction!$E$7=2,"D","☾"))</f>
        <v>🌗</v>
      </c>
    </row>
    <row r="965" spans="9:10" x14ac:dyDescent="0.2">
      <c r="I965" s="209">
        <v>11464</v>
      </c>
      <c r="J965" s="418" t="str">
        <f>IF(Introduction!$E$7=1,"🌑",IF(Introduction!$E$7=2,"N","⚉"))</f>
        <v>🌑</v>
      </c>
    </row>
    <row r="966" spans="9:10" x14ac:dyDescent="0.2">
      <c r="I966" s="209">
        <v>11472</v>
      </c>
      <c r="J966" s="418" t="str">
        <f>IF(Introduction!$E$7=1,"🌓",IF(Introduction!$E$7=2,"P","☽"))</f>
        <v>🌓</v>
      </c>
    </row>
    <row r="967" spans="9:10" x14ac:dyDescent="0.2">
      <c r="I967" s="209">
        <v>11479</v>
      </c>
      <c r="J967" s="418" t="str">
        <f>IF(Introduction!$E$7=1,"🌕",IF(Introduction!$E$7=2,"O","⚇"))</f>
        <v>🌕</v>
      </c>
    </row>
    <row r="968" spans="9:10" x14ac:dyDescent="0.2">
      <c r="I968" s="209">
        <v>11486</v>
      </c>
      <c r="J968" s="418" t="str">
        <f>IF(Introduction!$E$7=1,"🌗",IF(Introduction!$E$7=2,"D","☾"))</f>
        <v>🌗</v>
      </c>
    </row>
    <row r="969" spans="9:10" x14ac:dyDescent="0.2">
      <c r="I969" s="209">
        <v>11493</v>
      </c>
      <c r="J969" s="418" t="str">
        <f>IF(Introduction!$E$7=1,"🌑",IF(Introduction!$E$7=2,"N","⚉"))</f>
        <v>🌑</v>
      </c>
    </row>
    <row r="970" spans="9:10" x14ac:dyDescent="0.2">
      <c r="I970" s="209">
        <v>11502</v>
      </c>
      <c r="J970" s="418" t="str">
        <f>IF(Introduction!$E$7=1,"🌓",IF(Introduction!$E$7=2,"P","☽"))</f>
        <v>🌓</v>
      </c>
    </row>
    <row r="971" spans="9:10" x14ac:dyDescent="0.2">
      <c r="I971" s="209">
        <v>11508</v>
      </c>
      <c r="J971" s="418" t="str">
        <f>IF(Introduction!$E$7=1,"🌕",IF(Introduction!$E$7=2,"O","⚇"))</f>
        <v>🌕</v>
      </c>
    </row>
    <row r="972" spans="9:10" x14ac:dyDescent="0.2">
      <c r="I972" s="209">
        <v>11515</v>
      </c>
      <c r="J972" s="418" t="str">
        <f>IF(Introduction!$E$7=1,"🌗",IF(Introduction!$E$7=2,"D","☾"))</f>
        <v>🌗</v>
      </c>
    </row>
    <row r="973" spans="9:10" x14ac:dyDescent="0.2">
      <c r="I973" s="209">
        <v>11523</v>
      </c>
      <c r="J973" s="418" t="str">
        <f>IF(Introduction!$E$7=1,"🌑",IF(Introduction!$E$7=2,"N","⚉"))</f>
        <v>🌑</v>
      </c>
    </row>
    <row r="974" spans="9:10" x14ac:dyDescent="0.2">
      <c r="I974" s="209">
        <v>11531</v>
      </c>
      <c r="J974" s="418" t="str">
        <f>IF(Introduction!$E$7=1,"🌓",IF(Introduction!$E$7=2,"P","☽"))</f>
        <v>🌓</v>
      </c>
    </row>
    <row r="975" spans="9:10" x14ac:dyDescent="0.2">
      <c r="I975" s="209">
        <v>11538</v>
      </c>
      <c r="J975" s="418" t="str">
        <f>IF(Introduction!$E$7=1,"🌕",IF(Introduction!$E$7=2,"O","⚇"))</f>
        <v>🌕</v>
      </c>
    </row>
    <row r="976" spans="9:10" x14ac:dyDescent="0.2">
      <c r="I976" s="209">
        <v>11545</v>
      </c>
      <c r="J976" s="418" t="str">
        <f>IF(Introduction!$E$7=1,"🌗",IF(Introduction!$E$7=2,"D","☾"))</f>
        <v>🌗</v>
      </c>
    </row>
    <row r="977" spans="9:10" x14ac:dyDescent="0.2">
      <c r="I977" s="209">
        <v>11553</v>
      </c>
      <c r="J977" s="418" t="str">
        <f>IF(Introduction!$E$7=1,"🌑",IF(Introduction!$E$7=2,"N","⚉"))</f>
        <v>🌑</v>
      </c>
    </row>
    <row r="978" spans="9:10" x14ac:dyDescent="0.2">
      <c r="I978" s="209">
        <v>11560</v>
      </c>
      <c r="J978" s="418" t="str">
        <f>IF(Introduction!$E$7=1,"🌓",IF(Introduction!$E$7=2,"P","☽"))</f>
        <v>🌓</v>
      </c>
    </row>
    <row r="979" spans="9:10" x14ac:dyDescent="0.2">
      <c r="I979" s="209">
        <v>11567</v>
      </c>
      <c r="J979" s="418" t="str">
        <f>IF(Introduction!$E$7=1,"🌕",IF(Introduction!$E$7=2,"O","⚇"))</f>
        <v>🌕</v>
      </c>
    </row>
    <row r="980" spans="9:10" x14ac:dyDescent="0.2">
      <c r="I980" s="209">
        <v>11574</v>
      </c>
      <c r="J980" s="418" t="str">
        <f>IF(Introduction!$E$7=1,"🌗",IF(Introduction!$E$7=2,"D","☾"))</f>
        <v>🌗</v>
      </c>
    </row>
    <row r="981" spans="9:10" x14ac:dyDescent="0.2">
      <c r="I981" s="209">
        <v>11582</v>
      </c>
      <c r="J981" s="418" t="str">
        <f>IF(Introduction!$E$7=1,"🌑",IF(Introduction!$E$7=2,"N","⚉"))</f>
        <v>🌑</v>
      </c>
    </row>
    <row r="982" spans="9:10" x14ac:dyDescent="0.2">
      <c r="I982" s="209">
        <v>11590</v>
      </c>
      <c r="J982" s="418" t="str">
        <f>IF(Introduction!$E$7=1,"🌓",IF(Introduction!$E$7=2,"P","☽"))</f>
        <v>🌓</v>
      </c>
    </row>
    <row r="983" spans="9:10" x14ac:dyDescent="0.2">
      <c r="I983" s="209">
        <v>11596</v>
      </c>
      <c r="J983" s="418" t="str">
        <f>IF(Introduction!$E$7=1,"🌕",IF(Introduction!$E$7=2,"O","⚇"))</f>
        <v>🌕</v>
      </c>
    </row>
    <row r="984" spans="9:10" x14ac:dyDescent="0.2">
      <c r="I984" s="209">
        <v>11604</v>
      </c>
      <c r="J984" s="418" t="str">
        <f>IF(Introduction!$E$7=1,"🌗",IF(Introduction!$E$7=2,"D","☾"))</f>
        <v>🌗</v>
      </c>
    </row>
    <row r="985" spans="9:10" x14ac:dyDescent="0.2">
      <c r="I985" s="209">
        <v>11612</v>
      </c>
      <c r="J985" s="418" t="str">
        <f>IF(Introduction!$E$7=1,"🌑",IF(Introduction!$E$7=2,"N","⚉"))</f>
        <v>🌑</v>
      </c>
    </row>
    <row r="986" spans="9:10" x14ac:dyDescent="0.2">
      <c r="I986" s="209">
        <v>11619</v>
      </c>
      <c r="J986" s="418" t="str">
        <f>IF(Introduction!$E$7=1,"🌓",IF(Introduction!$E$7=2,"P","☽"))</f>
        <v>🌓</v>
      </c>
    </row>
    <row r="987" spans="9:10" x14ac:dyDescent="0.2">
      <c r="I987" s="209">
        <v>11626</v>
      </c>
      <c r="J987" s="418" t="str">
        <f>IF(Introduction!$E$7=1,"🌕",IF(Introduction!$E$7=2,"O","⚇"))</f>
        <v>🌕</v>
      </c>
    </row>
    <row r="988" spans="9:10" x14ac:dyDescent="0.2">
      <c r="I988" s="209">
        <v>11634</v>
      </c>
      <c r="J988" s="418" t="str">
        <f>IF(Introduction!$E$7=1,"🌗",IF(Introduction!$E$7=2,"D","☾"))</f>
        <v>🌗</v>
      </c>
    </row>
    <row r="989" spans="9:10" x14ac:dyDescent="0.2">
      <c r="I989" s="209">
        <v>11641</v>
      </c>
      <c r="J989" s="418" t="str">
        <f>IF(Introduction!$E$7=1,"🌑",IF(Introduction!$E$7=2,"N","⚉"))</f>
        <v>🌑</v>
      </c>
    </row>
    <row r="990" spans="9:10" x14ac:dyDescent="0.2">
      <c r="I990" s="209">
        <v>11648</v>
      </c>
      <c r="J990" s="418" t="str">
        <f>IF(Introduction!$E$7=1,"🌓",IF(Introduction!$E$7=2,"P","☽"))</f>
        <v>🌓</v>
      </c>
    </row>
    <row r="991" spans="9:10" x14ac:dyDescent="0.2">
      <c r="I991" s="209">
        <v>11655</v>
      </c>
      <c r="J991" s="418" t="str">
        <f>IF(Introduction!$E$7=1,"🌕",IF(Introduction!$E$7=2,"O","⚇"))</f>
        <v>🌕</v>
      </c>
    </row>
    <row r="992" spans="9:10" x14ac:dyDescent="0.2">
      <c r="I992" s="209">
        <v>11664</v>
      </c>
      <c r="J992" s="418" t="str">
        <f>IF(Introduction!$E$7=1,"🌗",IF(Introduction!$E$7=2,"D","☾"))</f>
        <v>🌗</v>
      </c>
    </row>
    <row r="993" spans="9:10" x14ac:dyDescent="0.2">
      <c r="I993" s="209">
        <v>11671</v>
      </c>
      <c r="J993" s="418" t="str">
        <f>IF(Introduction!$E$7=1,"🌑",IF(Introduction!$E$7=2,"N","⚉"))</f>
        <v>🌑</v>
      </c>
    </row>
    <row r="994" spans="9:10" x14ac:dyDescent="0.2">
      <c r="I994" s="209">
        <v>11678</v>
      </c>
      <c r="J994" s="418" t="str">
        <f>IF(Introduction!$E$7=1,"🌓",IF(Introduction!$E$7=2,"P","☽"))</f>
        <v>🌓</v>
      </c>
    </row>
    <row r="995" spans="9:10" x14ac:dyDescent="0.2">
      <c r="I995" s="419">
        <v>11685</v>
      </c>
      <c r="J995" s="420" t="str">
        <f>IF(Introduction!$E$7=1,"🌕",IF(Introduction!$E$7=2,"O","⚇"))</f>
        <v>🌕</v>
      </c>
    </row>
    <row r="996" spans="9:10" x14ac:dyDescent="0.2">
      <c r="J996" s="5"/>
    </row>
    <row r="997" spans="9:10" x14ac:dyDescent="0.2">
      <c r="J997" s="5"/>
    </row>
    <row r="998" spans="9:10" x14ac:dyDescent="0.2">
      <c r="J998" s="5"/>
    </row>
    <row r="999" spans="9:10" x14ac:dyDescent="0.2">
      <c r="J999" s="5"/>
    </row>
    <row r="1000" spans="9:10" x14ac:dyDescent="0.2">
      <c r="J1000" s="5"/>
    </row>
    <row r="1001" spans="9:10" x14ac:dyDescent="0.2">
      <c r="J1001" s="5"/>
    </row>
    <row r="1002" spans="9:10" x14ac:dyDescent="0.2">
      <c r="J1002" s="5"/>
    </row>
    <row r="1003" spans="9:10" x14ac:dyDescent="0.2">
      <c r="J1003" s="5"/>
    </row>
    <row r="1004" spans="9:10" x14ac:dyDescent="0.2">
      <c r="J1004" s="5"/>
    </row>
    <row r="1005" spans="9:10" x14ac:dyDescent="0.2">
      <c r="J1005" s="5"/>
    </row>
    <row r="1006" spans="9:10" x14ac:dyDescent="0.2">
      <c r="J1006" s="5"/>
    </row>
    <row r="1007" spans="9:10" x14ac:dyDescent="0.2">
      <c r="J1007" s="5"/>
    </row>
    <row r="1008" spans="9:10" x14ac:dyDescent="0.2">
      <c r="J1008" s="5"/>
    </row>
    <row r="1009" spans="10:10" x14ac:dyDescent="0.2">
      <c r="J1009" s="5"/>
    </row>
  </sheetData>
  <sheetProtection sheet="1" objects="1" scenarios="1"/>
  <sortState xmlns:xlrd2="http://schemas.microsoft.com/office/spreadsheetml/2017/richdata2" ref="C7:F20">
    <sortCondition ref="C7:C20"/>
  </sortState>
  <mergeCells count="8">
    <mergeCell ref="R2:AH2"/>
    <mergeCell ref="C91:D91"/>
    <mergeCell ref="C90:D90"/>
    <mergeCell ref="C92:D92"/>
    <mergeCell ref="L3:O3"/>
    <mergeCell ref="L2:P2"/>
    <mergeCell ref="I4:J4"/>
    <mergeCell ref="B5:F5"/>
  </mergeCells>
  <phoneticPr fontId="0" type="noConversion"/>
  <conditionalFormatting sqref="R93:AF93 R4:U92 Y49:AF92 Y4:AG55">
    <cfRule type="cellIs" dxfId="62" priority="74" operator="equal">
      <formula>47484</formula>
    </cfRule>
  </conditionalFormatting>
  <conditionalFormatting sqref="AH4:AH93 U93:AF93 U4:U92 Y49:AF92 Y4:AG55">
    <cfRule type="expression" dxfId="61" priority="75">
      <formula>MOD(YEAR(U4),2)=0</formula>
    </cfRule>
  </conditionalFormatting>
  <conditionalFormatting sqref="AG4:AG93">
    <cfRule type="cellIs" dxfId="60" priority="71" operator="equal">
      <formula>47484</formula>
    </cfRule>
  </conditionalFormatting>
  <conditionalFormatting sqref="AG4:AG93">
    <cfRule type="expression" dxfId="59" priority="72">
      <formula>MOD(YEAR(AG4),2)=0</formula>
    </cfRule>
  </conditionalFormatting>
  <conditionalFormatting sqref="V4:X37 V38">
    <cfRule type="cellIs" dxfId="58" priority="69" operator="equal">
      <formula>47484</formula>
    </cfRule>
  </conditionalFormatting>
  <conditionalFormatting sqref="V4:X37 V38">
    <cfRule type="expression" dxfId="57" priority="70">
      <formula>MOD(YEAR(V4),2)=0</formula>
    </cfRule>
  </conditionalFormatting>
  <conditionalFormatting sqref="V46:V92">
    <cfRule type="cellIs" dxfId="56" priority="67" operator="equal">
      <formula>47484</formula>
    </cfRule>
  </conditionalFormatting>
  <conditionalFormatting sqref="V46:V92">
    <cfRule type="expression" dxfId="55" priority="68">
      <formula>MOD(YEAR(V46),2)=0</formula>
    </cfRule>
  </conditionalFormatting>
  <conditionalFormatting sqref="W46:W92">
    <cfRule type="cellIs" dxfId="54" priority="65" operator="equal">
      <formula>47484</formula>
    </cfRule>
  </conditionalFormatting>
  <conditionalFormatting sqref="W46:W92">
    <cfRule type="expression" dxfId="53" priority="66">
      <formula>MOD(YEAR(W46),2)=0</formula>
    </cfRule>
  </conditionalFormatting>
  <conditionalFormatting sqref="X46:X92">
    <cfRule type="cellIs" dxfId="52" priority="63" operator="equal">
      <formula>47484</formula>
    </cfRule>
  </conditionalFormatting>
  <conditionalFormatting sqref="X46:X92">
    <cfRule type="expression" dxfId="51" priority="64">
      <formula>MOD(YEAR(X46),2)=0</formula>
    </cfRule>
  </conditionalFormatting>
  <conditionalFormatting sqref="V31">
    <cfRule type="cellIs" dxfId="50" priority="61" operator="equal">
      <formula>47484</formula>
    </cfRule>
  </conditionalFormatting>
  <conditionalFormatting sqref="V31">
    <cfRule type="expression" dxfId="49" priority="62">
      <formula>MOD(YEAR(V31),2)=0</formula>
    </cfRule>
  </conditionalFormatting>
  <conditionalFormatting sqref="V32">
    <cfRule type="cellIs" dxfId="48" priority="59" operator="equal">
      <formula>47484</formula>
    </cfRule>
  </conditionalFormatting>
  <conditionalFormatting sqref="V32">
    <cfRule type="expression" dxfId="47" priority="60">
      <formula>MOD(YEAR(V32),2)=0</formula>
    </cfRule>
  </conditionalFormatting>
  <conditionalFormatting sqref="W31">
    <cfRule type="cellIs" dxfId="46" priority="49" operator="equal">
      <formula>47484</formula>
    </cfRule>
  </conditionalFormatting>
  <conditionalFormatting sqref="W31">
    <cfRule type="expression" dxfId="45" priority="50">
      <formula>MOD(YEAR(W31),2)=0</formula>
    </cfRule>
  </conditionalFormatting>
  <conditionalFormatting sqref="W32">
    <cfRule type="cellIs" dxfId="44" priority="47" operator="equal">
      <formula>47484</formula>
    </cfRule>
  </conditionalFormatting>
  <conditionalFormatting sqref="W32">
    <cfRule type="expression" dxfId="43" priority="48">
      <formula>MOD(YEAR(W32),2)=0</formula>
    </cfRule>
  </conditionalFormatting>
  <conditionalFormatting sqref="X31">
    <cfRule type="cellIs" dxfId="42" priority="45" operator="equal">
      <formula>47484</formula>
    </cfRule>
  </conditionalFormatting>
  <conditionalFormatting sqref="X31">
    <cfRule type="expression" dxfId="41" priority="46">
      <formula>MOD(YEAR(X31),2)=0</formula>
    </cfRule>
  </conditionalFormatting>
  <conditionalFormatting sqref="X32">
    <cfRule type="cellIs" dxfId="40" priority="43" operator="equal">
      <formula>47484</formula>
    </cfRule>
  </conditionalFormatting>
  <conditionalFormatting sqref="X32">
    <cfRule type="expression" dxfId="39" priority="44">
      <formula>MOD(YEAR(X32),2)=0</formula>
    </cfRule>
  </conditionalFormatting>
  <conditionalFormatting sqref="V37:X37">
    <cfRule type="cellIs" dxfId="38" priority="41" operator="equal">
      <formula>47484</formula>
    </cfRule>
  </conditionalFormatting>
  <conditionalFormatting sqref="V37:X37">
    <cfRule type="expression" dxfId="37" priority="42">
      <formula>MOD(YEAR(V37),2)=0</formula>
    </cfRule>
  </conditionalFormatting>
  <conditionalFormatting sqref="V38">
    <cfRule type="cellIs" dxfId="36" priority="39" operator="equal">
      <formula>47484</formula>
    </cfRule>
  </conditionalFormatting>
  <conditionalFormatting sqref="V38">
    <cfRule type="expression" dxfId="35" priority="40">
      <formula>MOD(YEAR(V38),2)=0</formula>
    </cfRule>
  </conditionalFormatting>
  <conditionalFormatting sqref="V24">
    <cfRule type="cellIs" dxfId="34" priority="33" operator="equal">
      <formula>47484</formula>
    </cfRule>
  </conditionalFormatting>
  <conditionalFormatting sqref="V24">
    <cfRule type="expression" dxfId="33" priority="34">
      <formula>MOD(YEAR(V24),2)=0</formula>
    </cfRule>
  </conditionalFormatting>
  <conditionalFormatting sqref="V25">
    <cfRule type="cellIs" dxfId="32" priority="31" operator="equal">
      <formula>47484</formula>
    </cfRule>
  </conditionalFormatting>
  <conditionalFormatting sqref="V25">
    <cfRule type="expression" dxfId="31" priority="32">
      <formula>MOD(YEAR(V25),2)=0</formula>
    </cfRule>
  </conditionalFormatting>
  <conditionalFormatting sqref="W24">
    <cfRule type="cellIs" dxfId="30" priority="29" operator="equal">
      <formula>47484</formula>
    </cfRule>
  </conditionalFormatting>
  <conditionalFormatting sqref="W24">
    <cfRule type="expression" dxfId="29" priority="30">
      <formula>MOD(YEAR(W24),2)=0</formula>
    </cfRule>
  </conditionalFormatting>
  <conditionalFormatting sqref="W25">
    <cfRule type="cellIs" dxfId="28" priority="27" operator="equal">
      <formula>47484</formula>
    </cfRule>
  </conditionalFormatting>
  <conditionalFormatting sqref="W25">
    <cfRule type="expression" dxfId="27" priority="28">
      <formula>MOD(YEAR(W25),2)=0</formula>
    </cfRule>
  </conditionalFormatting>
  <conditionalFormatting sqref="X24">
    <cfRule type="cellIs" dxfId="26" priority="25" operator="equal">
      <formula>47484</formula>
    </cfRule>
  </conditionalFormatting>
  <conditionalFormatting sqref="X24">
    <cfRule type="expression" dxfId="25" priority="26">
      <formula>MOD(YEAR(X24),2)=0</formula>
    </cfRule>
  </conditionalFormatting>
  <conditionalFormatting sqref="X25">
    <cfRule type="cellIs" dxfId="24" priority="23" operator="equal">
      <formula>47484</formula>
    </cfRule>
  </conditionalFormatting>
  <conditionalFormatting sqref="X25">
    <cfRule type="expression" dxfId="23" priority="24">
      <formula>MOD(YEAR(X25),2)=0</formula>
    </cfRule>
  </conditionalFormatting>
  <conditionalFormatting sqref="V40:X45 V39">
    <cfRule type="cellIs" dxfId="22" priority="21" operator="equal">
      <formula>47484</formula>
    </cfRule>
  </conditionalFormatting>
  <conditionalFormatting sqref="V40:X45 V39">
    <cfRule type="expression" dxfId="21" priority="22">
      <formula>MOD(YEAR(V39),2)=0</formula>
    </cfRule>
  </conditionalFormatting>
  <conditionalFormatting sqref="W25">
    <cfRule type="cellIs" dxfId="20" priority="19" operator="equal">
      <formula>47484</formula>
    </cfRule>
  </conditionalFormatting>
  <conditionalFormatting sqref="W25">
    <cfRule type="expression" dxfId="19" priority="20">
      <formula>MOD(YEAR(W25),2)=0</formula>
    </cfRule>
  </conditionalFormatting>
  <conditionalFormatting sqref="X25">
    <cfRule type="cellIs" dxfId="18" priority="17" operator="equal">
      <formula>47484</formula>
    </cfRule>
  </conditionalFormatting>
  <conditionalFormatting sqref="X25">
    <cfRule type="expression" dxfId="17" priority="18">
      <formula>MOD(YEAR(X25),2)=0</formula>
    </cfRule>
  </conditionalFormatting>
  <conditionalFormatting sqref="W38">
    <cfRule type="cellIs" dxfId="16" priority="11" operator="equal">
      <formula>47484</formula>
    </cfRule>
  </conditionalFormatting>
  <conditionalFormatting sqref="W38">
    <cfRule type="expression" dxfId="15" priority="12">
      <formula>MOD(YEAR(W38),2)=0</formula>
    </cfRule>
  </conditionalFormatting>
  <conditionalFormatting sqref="W38">
    <cfRule type="cellIs" dxfId="14" priority="9" operator="equal">
      <formula>47484</formula>
    </cfRule>
  </conditionalFormatting>
  <conditionalFormatting sqref="W38">
    <cfRule type="expression" dxfId="13" priority="10">
      <formula>MOD(YEAR(W38),2)=0</formula>
    </cfRule>
  </conditionalFormatting>
  <conditionalFormatting sqref="W39">
    <cfRule type="cellIs" dxfId="12" priority="7" operator="equal">
      <formula>47484</formula>
    </cfRule>
  </conditionalFormatting>
  <conditionalFormatting sqref="W39">
    <cfRule type="expression" dxfId="11" priority="8">
      <formula>MOD(YEAR(W39),2)=0</formula>
    </cfRule>
  </conditionalFormatting>
  <conditionalFormatting sqref="X38">
    <cfRule type="cellIs" dxfId="10" priority="5" operator="equal">
      <formula>47484</formula>
    </cfRule>
  </conditionalFormatting>
  <conditionalFormatting sqref="X38">
    <cfRule type="expression" dxfId="9" priority="6">
      <formula>MOD(YEAR(X38),2)=0</formula>
    </cfRule>
  </conditionalFormatting>
  <conditionalFormatting sqref="X38">
    <cfRule type="cellIs" dxfId="8" priority="3" operator="equal">
      <formula>47484</formula>
    </cfRule>
  </conditionalFormatting>
  <conditionalFormatting sqref="X38">
    <cfRule type="expression" dxfId="7" priority="4">
      <formula>MOD(YEAR(X38),2)=0</formula>
    </cfRule>
  </conditionalFormatting>
  <conditionalFormatting sqref="X39">
    <cfRule type="cellIs" dxfId="6" priority="1" operator="equal">
      <formula>47484</formula>
    </cfRule>
  </conditionalFormatting>
  <conditionalFormatting sqref="X39">
    <cfRule type="expression" dxfId="5" priority="2">
      <formula>MOD(YEAR(X39),2)=0</formula>
    </cfRule>
  </conditionalFormatting>
  <dataValidations count="2">
    <dataValidation type="whole" allowBlank="1" showInputMessage="1" showErrorMessage="1" sqref="G5" xr:uid="{00000000-0002-0000-0700-000000000000}">
      <formula1>2010</formula1>
      <formula2>2015</formula2>
    </dataValidation>
    <dataValidation type="whole" allowBlank="1" showInputMessage="1" showErrorMessage="1" sqref="G6:G36" xr:uid="{00000000-0002-0000-0700-000001000000}">
      <formula1>2000</formula1>
      <formula2>2030</formula2>
    </dataValidation>
  </dataValidations>
  <pageMargins left="0.75" right="0.75" top="1" bottom="1" header="0.4921259845" footer="0.492125984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pageSetUpPr autoPageBreaks="0"/>
  </sheetPr>
  <dimension ref="A1:AG373"/>
  <sheetViews>
    <sheetView topLeftCell="E1" workbookViewId="0">
      <selection activeCell="W7" sqref="W7:W373"/>
    </sheetView>
  </sheetViews>
  <sheetFormatPr baseColWidth="10" defaultColWidth="11.5" defaultRowHeight="16" x14ac:dyDescent="0.2"/>
  <cols>
    <col min="1" max="4" width="1" style="171" hidden="1" customWidth="1"/>
    <col min="5" max="5" width="3.6640625" style="171" customWidth="1"/>
    <col min="6" max="6" width="11.33203125" style="171" bestFit="1" customWidth="1"/>
    <col min="7" max="7" width="4.83203125" style="175" customWidth="1"/>
    <col min="8" max="8" width="7.33203125" style="171" bestFit="1" customWidth="1"/>
    <col min="9" max="9" width="7" style="171" bestFit="1" customWidth="1"/>
    <col min="10" max="10" width="7.5" style="171" customWidth="1"/>
    <col min="11" max="11" width="5.5" style="171" customWidth="1"/>
    <col min="12" max="12" width="9" style="171" bestFit="1" customWidth="1"/>
    <col min="13" max="13" width="6.1640625" style="171" bestFit="1" customWidth="1"/>
    <col min="14" max="14" width="7.5" style="171" bestFit="1" customWidth="1"/>
    <col min="15" max="15" width="7.1640625" style="175" bestFit="1" customWidth="1"/>
    <col min="16" max="16" width="7.33203125" style="175" bestFit="1" customWidth="1"/>
    <col min="17" max="17" width="6.33203125" style="175" bestFit="1" customWidth="1"/>
    <col min="18" max="18" width="6.1640625" style="175" bestFit="1" customWidth="1"/>
    <col min="19" max="19" width="7.6640625" style="176" customWidth="1"/>
    <col min="20" max="20" width="7.1640625" style="175" customWidth="1"/>
    <col min="21" max="21" width="3.5" style="175" bestFit="1" customWidth="1"/>
    <col min="22" max="22" width="2.5" style="171" customWidth="1"/>
    <col min="23" max="23" width="17.83203125" style="171" bestFit="1" customWidth="1"/>
    <col min="24" max="24" width="3.1640625" style="171" customWidth="1"/>
    <col min="25" max="25" width="3.83203125" style="5" customWidth="1"/>
    <col min="26" max="26" width="9.1640625" style="5" customWidth="1"/>
    <col min="27" max="27" width="11" style="5" customWidth="1"/>
    <col min="28" max="28" width="11" style="171" customWidth="1"/>
    <col min="29" max="29" width="9" style="171" bestFit="1" customWidth="1"/>
    <col min="30" max="30" width="8.5" style="171" bestFit="1" customWidth="1"/>
    <col min="31" max="31" width="9.83203125" style="171" customWidth="1"/>
    <col min="32" max="32" width="7" style="171" customWidth="1"/>
    <col min="33" max="33" width="7.1640625" style="171" customWidth="1"/>
    <col min="34" max="16384" width="11.5" style="171"/>
  </cols>
  <sheetData>
    <row r="1" spans="6:33" x14ac:dyDescent="0.2">
      <c r="F1" s="229"/>
      <c r="G1" s="230"/>
      <c r="H1" s="231"/>
      <c r="I1" s="231"/>
      <c r="J1" s="231"/>
      <c r="K1" s="231"/>
      <c r="L1" s="231"/>
      <c r="M1" s="231"/>
      <c r="N1" s="231"/>
      <c r="O1" s="230"/>
      <c r="P1" s="230"/>
      <c r="Q1" s="230"/>
      <c r="R1" s="230"/>
      <c r="S1" s="232"/>
      <c r="T1" s="230"/>
      <c r="U1" s="230"/>
      <c r="V1" s="231"/>
      <c r="W1" s="231"/>
    </row>
    <row r="2" spans="6:33" x14ac:dyDescent="0.2">
      <c r="F2" s="172" t="s">
        <v>467</v>
      </c>
      <c r="G2" s="575">
        <f>VLOOKUP(Introduction!F6,Y10:AG54,5,FALSE)</f>
        <v>48.856614</v>
      </c>
      <c r="H2" s="576"/>
      <c r="I2" s="592" t="str">
        <f>CONCATENATE("Coordonnées GPS de ",VLOOKUP(Introduction!F6,Y10:AG54,3,FALSE))</f>
        <v>Coordonnées GPS de Paris</v>
      </c>
      <c r="J2" s="593"/>
      <c r="K2" s="594"/>
      <c r="L2" s="579">
        <f>VLOOKUP(Introduction!F6,Y10:AG54,5,FALSE)</f>
        <v>48.856614</v>
      </c>
      <c r="M2" s="580"/>
      <c r="N2" s="172"/>
      <c r="O2" s="173"/>
      <c r="P2" s="173"/>
      <c r="Q2" s="173"/>
      <c r="R2" s="173"/>
      <c r="S2" s="242"/>
      <c r="T2" s="173"/>
      <c r="U2" s="173"/>
      <c r="V2" s="243"/>
      <c r="W2" s="244"/>
    </row>
    <row r="3" spans="6:33" x14ac:dyDescent="0.2">
      <c r="F3" s="228" t="s">
        <v>466</v>
      </c>
      <c r="G3" s="577">
        <f>VLOOKUP(Introduction!F6,Y10:AG54,6,FALSE)</f>
        <v>2.3522219000000102</v>
      </c>
      <c r="H3" s="578"/>
      <c r="I3" s="595"/>
      <c r="J3" s="596"/>
      <c r="K3" s="597"/>
      <c r="L3" s="581">
        <f>VLOOKUP(Introduction!F6,Y10:AG54,7,FALSE)</f>
        <v>-2.3522219000000102</v>
      </c>
      <c r="M3" s="582"/>
      <c r="N3" s="228"/>
      <c r="O3" s="187"/>
      <c r="P3" s="187"/>
      <c r="Q3" s="187"/>
      <c r="R3" s="187"/>
      <c r="S3" s="241"/>
      <c r="T3" s="187"/>
      <c r="U3" s="187"/>
      <c r="V3" s="245"/>
      <c r="W3" s="246"/>
    </row>
    <row r="4" spans="6:33" s="183" customFormat="1" ht="30" customHeight="1" x14ac:dyDescent="0.2">
      <c r="F4" s="177" t="s">
        <v>422</v>
      </c>
      <c r="G4" s="178" t="s">
        <v>423</v>
      </c>
      <c r="H4" s="179" t="s">
        <v>424</v>
      </c>
      <c r="I4" s="180" t="s">
        <v>425</v>
      </c>
      <c r="J4" s="180" t="s">
        <v>426</v>
      </c>
      <c r="K4" s="180" t="s">
        <v>427</v>
      </c>
      <c r="L4" s="583" t="s">
        <v>465</v>
      </c>
      <c r="M4" s="584"/>
      <c r="N4" s="181" t="s">
        <v>436</v>
      </c>
      <c r="O4" s="583" t="s">
        <v>435</v>
      </c>
      <c r="P4" s="584"/>
      <c r="Q4" s="182" t="s">
        <v>419</v>
      </c>
      <c r="R4" s="182" t="s">
        <v>421</v>
      </c>
      <c r="S4" s="179" t="s">
        <v>419</v>
      </c>
      <c r="T4" s="181" t="s">
        <v>421</v>
      </c>
      <c r="U4" s="598" t="s">
        <v>433</v>
      </c>
      <c r="V4" s="600" t="s">
        <v>434</v>
      </c>
      <c r="W4" s="602" t="s">
        <v>468</v>
      </c>
      <c r="Y4" s="585" t="s">
        <v>428</v>
      </c>
      <c r="Z4" s="586"/>
      <c r="AA4" s="586"/>
      <c r="AB4" s="586"/>
      <c r="AC4" s="587"/>
    </row>
    <row r="5" spans="6:33" s="175" customFormat="1" ht="16" customHeight="1" x14ac:dyDescent="0.2">
      <c r="F5" s="184"/>
      <c r="G5" s="185"/>
      <c r="H5" s="188" t="s">
        <v>429</v>
      </c>
      <c r="I5" s="188" t="s">
        <v>429</v>
      </c>
      <c r="J5" s="188" t="s">
        <v>429</v>
      </c>
      <c r="K5" s="187" t="s">
        <v>429</v>
      </c>
      <c r="L5" s="188" t="s">
        <v>430</v>
      </c>
      <c r="M5" s="185" t="s">
        <v>431</v>
      </c>
      <c r="N5" s="188" t="s">
        <v>429</v>
      </c>
      <c r="O5" s="186" t="s">
        <v>429</v>
      </c>
      <c r="P5" s="189" t="s">
        <v>471</v>
      </c>
      <c r="Q5" s="606" t="s">
        <v>470</v>
      </c>
      <c r="R5" s="607"/>
      <c r="S5" s="604" t="s">
        <v>469</v>
      </c>
      <c r="T5" s="605"/>
      <c r="U5" s="599"/>
      <c r="V5" s="601"/>
      <c r="W5" s="603"/>
      <c r="Y5" s="588" t="s">
        <v>432</v>
      </c>
      <c r="Z5" s="589"/>
      <c r="AA5" s="167">
        <f>Ref_Annee</f>
        <v>2021</v>
      </c>
      <c r="AB5" s="170">
        <f>AA5+1</f>
        <v>2022</v>
      </c>
      <c r="AC5" s="188">
        <f>Introduction!F6</f>
        <v>26</v>
      </c>
    </row>
    <row r="6" spans="6:33" s="175" customFormat="1" x14ac:dyDescent="0.2">
      <c r="F6" s="190">
        <f>F8-2</f>
        <v>44195</v>
      </c>
      <c r="G6" s="191">
        <f t="shared" ref="G6:G7" si="0">F6-DATE(YEAR(F6),1,0)</f>
        <v>365</v>
      </c>
      <c r="H6" s="192">
        <f t="shared" ref="H6:H69" si="1">MOD(357+0.9856*$G6,360)</f>
        <v>356.74400000000003</v>
      </c>
      <c r="I6" s="192">
        <f>1.914*SIN(PI()/180*$H6)+0.02*SIN(PI()/180*2*$H6)</f>
        <v>-0.11097833213871401</v>
      </c>
      <c r="J6" s="192">
        <f t="shared" ref="J6:J69" si="2">MOD(280+$I6+0.9856*$G6,360)</f>
        <v>279.63302166786139</v>
      </c>
      <c r="K6" s="192">
        <f>-2.466*SIN(PI()/180*2*$J6)+0.053*SIN(PI()/180*4*$J6)</f>
        <v>0.84668549407632776</v>
      </c>
      <c r="L6" s="193">
        <f>($I6+$K6)*4</f>
        <v>2.9428286477504551</v>
      </c>
      <c r="M6" s="194">
        <f>ABS($L6)/24</f>
        <v>0.12261786032293563</v>
      </c>
      <c r="N6" s="195">
        <f>ASIN(0.3978*SIN(PI()/180*$J6))*180/PI()</f>
        <v>-23.090893947665517</v>
      </c>
      <c r="O6" s="192">
        <f t="shared" ref="O6:O69" si="3">ACOS((-0.01454-SIN(PI()/180*$N6)*SIN(PI()/180*$L$2))/(COS(PI()/180*$N6)*COS(PI()/180*$L$2)))*180/PI()</f>
        <v>62.356932448479462</v>
      </c>
      <c r="P6" s="192">
        <f t="shared" ref="P6:P69" si="4">$O6/15</f>
        <v>4.1571288298986309</v>
      </c>
      <c r="Q6" s="192">
        <f t="shared" ref="Q6:Q69" si="5">12-$P6</f>
        <v>7.8428711701013691</v>
      </c>
      <c r="R6" s="192">
        <f t="shared" ref="R6:R69" si="6">12+$P6</f>
        <v>16.157128829898632</v>
      </c>
      <c r="S6" s="194">
        <f t="shared" ref="S6:S69" si="7">(TRUNC($Q6+$L6/60+$L$3*4/60+$V6)+ROUND((($Q6+$L6/60+$L$3*4/60+$V6)-TRUNC($Q6+$L6/60+$L$3*4/60+$V6))*60,0)/60)/24</f>
        <v>0.36388888888888887</v>
      </c>
      <c r="T6" s="194">
        <f t="shared" ref="T6:T69" si="8">(TRUNC($R6+$L6/60+$L$3*4/60+$V6)+ROUND((($R6+$L6/60+$L$3*4/60+$V6)-TRUNC($R6+$L6/60+$L$3*4/60+$V6))*60,0)/60)/24</f>
        <v>0.7104166666666667</v>
      </c>
      <c r="U6" s="196" t="s">
        <v>437</v>
      </c>
      <c r="V6" s="196">
        <f>IF(U6="H",$AC$6,$AC$7)</f>
        <v>1</v>
      </c>
      <c r="W6" s="233" t="str">
        <f>IF(Introduction!$E$7=1,CONCATENATE("🌞 ➚ ",TEXT(S6,"hh:mm")," ","➘ ",TEXT(T6,"hh:mm")),CONCATENATE("☼ ➚ ",TEXT(S6,"hh:mm")," ","➘ ",TEXT(T6,"hh:mm")))</f>
        <v>🌞 ➚ 08:44 ➘ 17:03</v>
      </c>
      <c r="Y6" s="588" t="s">
        <v>438</v>
      </c>
      <c r="Z6" s="589"/>
      <c r="AA6" s="168">
        <f>DATE(Ref_Annee,3,32-WEEKDAY(DATE(Ref_Annee,3,31),1))</f>
        <v>44283</v>
      </c>
      <c r="AB6" s="168">
        <f>DATE(AB5,3,32-WEEKDAY(DATE(AB5,3,31),1))</f>
        <v>44647</v>
      </c>
      <c r="AC6" s="247">
        <f>VLOOKUP(Introduction!F6,Y10:AG54,8,FALSE)</f>
        <v>1</v>
      </c>
    </row>
    <row r="7" spans="6:33" s="175" customFormat="1" x14ac:dyDescent="0.2">
      <c r="F7" s="234">
        <f>F8-1</f>
        <v>44196</v>
      </c>
      <c r="G7" s="235">
        <f t="shared" si="0"/>
        <v>366</v>
      </c>
      <c r="H7" s="236">
        <f t="shared" si="1"/>
        <v>357.7296</v>
      </c>
      <c r="I7" s="236">
        <f>1.914*SIN(PI()/180*$H7)+0.02*SIN(PI()/180*2*$H7)</f>
        <v>-7.7407610971193322E-2</v>
      </c>
      <c r="J7" s="236">
        <f t="shared" si="2"/>
        <v>280.65219238902887</v>
      </c>
      <c r="K7" s="236">
        <f>-2.466*SIN(PI()/180*2*$J7)+0.053*SIN(PI()/180*4*$J7)</f>
        <v>0.93183375777573585</v>
      </c>
      <c r="L7" s="237">
        <f>($I7+$K7)*4</f>
        <v>3.4177045872181702</v>
      </c>
      <c r="M7" s="238">
        <f>ABS($L7)/24</f>
        <v>0.14240435780075708</v>
      </c>
      <c r="N7" s="239">
        <f>ASIN(0.3978*SIN(PI()/180*$J7))*180/PI()</f>
        <v>-23.013304234829178</v>
      </c>
      <c r="O7" s="236">
        <f t="shared" si="3"/>
        <v>62.474378683727728</v>
      </c>
      <c r="P7" s="236">
        <f t="shared" si="4"/>
        <v>4.164958578915182</v>
      </c>
      <c r="Q7" s="236">
        <f t="shared" si="5"/>
        <v>7.835041421084818</v>
      </c>
      <c r="R7" s="236">
        <f t="shared" si="6"/>
        <v>16.164958578915183</v>
      </c>
      <c r="S7" s="238">
        <f t="shared" si="7"/>
        <v>0.36388888888888887</v>
      </c>
      <c r="T7" s="238">
        <f t="shared" si="8"/>
        <v>0.71111111111111114</v>
      </c>
      <c r="U7" s="184" t="s">
        <v>437</v>
      </c>
      <c r="V7" s="184">
        <f t="shared" ref="V7:V70" si="9">IF(U7="H",$AC$6,$AC$7)</f>
        <v>1</v>
      </c>
      <c r="W7" s="240" t="str">
        <f>IF(Introduction!$E$7=1,CONCATENATE("🌞 ➚ ",TEXT(S7,"hh:mm")," ","➘ ",TEXT(T7,"hh:mm")),CONCATENATE("☼ ➚ ",TEXT(S7,"hh:mm")," ","➘ ",TEXT(T7,"hh:mm")))</f>
        <v>🌞 ➚ 08:44 ➘ 17:04</v>
      </c>
      <c r="Y7" s="590" t="s">
        <v>439</v>
      </c>
      <c r="Z7" s="591"/>
      <c r="AA7" s="169">
        <f>DATE(Ref_Annee,10,32-WEEKDAY(DATE(Ref_Annee,10,31),1))</f>
        <v>44500</v>
      </c>
      <c r="AB7" s="169">
        <f>DATE(AB5,10,32-WEEKDAY(DATE(AB5,10,31),1))</f>
        <v>44864</v>
      </c>
      <c r="AC7" s="247">
        <f>VLOOKUP(Introduction!F6,Y10:AG54,9,FALSE)</f>
        <v>2</v>
      </c>
    </row>
    <row r="8" spans="6:33" s="175" customFormat="1" x14ac:dyDescent="0.2">
      <c r="F8" s="198">
        <f>DATE(+Ref_Annee,Ref_Mois,1)</f>
        <v>44197</v>
      </c>
      <c r="G8" s="199">
        <f>F8-DATE(YEAR(F8),1,0)</f>
        <v>1</v>
      </c>
      <c r="H8" s="223">
        <f t="shared" si="1"/>
        <v>357.98559999999998</v>
      </c>
      <c r="I8" s="223">
        <f>1.914*SIN(PI()/180*$H8)+0.02*SIN(PI()/180*2*$H8)</f>
        <v>-6.8683540109881397E-2</v>
      </c>
      <c r="J8" s="223">
        <f t="shared" si="2"/>
        <v>280.9169164598901</v>
      </c>
      <c r="K8" s="223">
        <f>-2.466*SIN(PI()/180*2*$J8)+0.053*SIN(PI()/180*4*$J8)</f>
        <v>0.95374008729577497</v>
      </c>
      <c r="L8" s="224">
        <f>($I8+$K8)*4</f>
        <v>3.5402261887435742</v>
      </c>
      <c r="M8" s="225">
        <f>ABS($L8)/24</f>
        <v>0.14750942453098226</v>
      </c>
      <c r="N8" s="226">
        <f>ASIN(0.3978*SIN(PI()/180*$J8))*180/PI()</f>
        <v>-22.99189741202202</v>
      </c>
      <c r="O8" s="223">
        <f t="shared" si="3"/>
        <v>62.506736458001861</v>
      </c>
      <c r="P8" s="223">
        <f t="shared" si="4"/>
        <v>4.1671157638667911</v>
      </c>
      <c r="Q8" s="227">
        <f>12-$P8</f>
        <v>7.8328842361332089</v>
      </c>
      <c r="R8" s="227">
        <f>12+$P8</f>
        <v>16.167115763866789</v>
      </c>
      <c r="S8" s="204">
        <f t="shared" si="7"/>
        <v>0.36388888888888887</v>
      </c>
      <c r="T8" s="204">
        <f t="shared" si="8"/>
        <v>0.71111111111111114</v>
      </c>
      <c r="U8" s="205" t="str">
        <f t="shared" ref="U8:U71" si="10">IF(YEAR($F8)=$AA$5,IF(AND($F8&gt;=$AA$6,$F8&lt;$AA$7),"E",IF(AND($F8&gt;=$AA$6,$F8&lt;$AA$7),"E","H")),IF(AND($F8&gt;=$AB$6,$F8&lt;$AB$7),"E",IF(AND($F8&gt;=$AB$6,$F8&lt;$AB$7),"E","H")))</f>
        <v>H</v>
      </c>
      <c r="V8" s="271">
        <f t="shared" si="9"/>
        <v>1</v>
      </c>
      <c r="W8" s="207" t="str">
        <f>IF(Introduction!$E$7=1,CONCATENATE("🌞 ➚ ",TEXT(S8,"hh:mm")," ","➘ ",TEXT(T8,"hh:mm")),CONCATENATE("☼ ➚ ",TEXT(S8,"hh:mm")," ","➘ ",TEXT(T8,"hh:mm")))</f>
        <v>🌞 ➚ 08:44 ➘ 17:04</v>
      </c>
      <c r="Y8" s="197"/>
      <c r="Z8" s="197"/>
      <c r="AA8" s="197"/>
    </row>
    <row r="9" spans="6:33" s="206" customFormat="1" x14ac:dyDescent="0.2">
      <c r="F9" s="198">
        <f t="shared" ref="F9:F73" si="11">F8+1</f>
        <v>44198</v>
      </c>
      <c r="G9" s="199">
        <f t="shared" ref="G9:G72" si="12">F9-DATE(YEAR(F9),1,0)</f>
        <v>2</v>
      </c>
      <c r="H9" s="223">
        <f t="shared" si="1"/>
        <v>358.97120000000001</v>
      </c>
      <c r="I9" s="223">
        <f t="shared" ref="I9:I72" si="13">1.914*SIN(PI()/180*$H9)+0.02*SIN(PI()/180*2*$H9)</f>
        <v>-3.5083919987882427E-2</v>
      </c>
      <c r="J9" s="223">
        <f t="shared" si="2"/>
        <v>281.93611608001214</v>
      </c>
      <c r="K9" s="223">
        <f t="shared" ref="K9:K72" si="14">-2.466*SIN(PI()/180*2*$J9)+0.053*SIN(PI()/180*4*$J9)</f>
        <v>1.0372145075756889</v>
      </c>
      <c r="L9" s="224">
        <f t="shared" ref="L9:L72" si="15">($I9+$K9)*4</f>
        <v>4.0085223503512255</v>
      </c>
      <c r="M9" s="225">
        <f t="shared" ref="M9:M72" si="16">ABS($L9)/24</f>
        <v>0.16702176459796772</v>
      </c>
      <c r="N9" s="226">
        <f t="shared" ref="N9:N72" si="17">ASIN(0.3978*SIN(PI()/180*$J9))*180/PI()</f>
        <v>-22.904673684616554</v>
      </c>
      <c r="O9" s="223">
        <f t="shared" si="3"/>
        <v>62.638379051708114</v>
      </c>
      <c r="P9" s="223">
        <f t="shared" si="4"/>
        <v>4.1758919367805412</v>
      </c>
      <c r="Q9" s="227">
        <f>12-$P9</f>
        <v>7.8241080632194588</v>
      </c>
      <c r="R9" s="227">
        <f>12+$P9</f>
        <v>16.175891936780541</v>
      </c>
      <c r="S9" s="204">
        <f t="shared" si="7"/>
        <v>0.36388888888888887</v>
      </c>
      <c r="T9" s="204">
        <f t="shared" si="8"/>
        <v>0.71180555555555547</v>
      </c>
      <c r="U9" s="205" t="str">
        <f t="shared" si="10"/>
        <v>H</v>
      </c>
      <c r="V9" s="272">
        <f t="shared" si="9"/>
        <v>1</v>
      </c>
      <c r="W9" s="207" t="str">
        <f>IF(Introduction!$E$7=1,CONCATENATE("🌞 ➚ ",TEXT(S9,"hh:mm")," ","➘ ",TEXT(T9,"hh:mm")),CONCATENATE("☼ ➚ ",TEXT(S9,"hh:mm")," ","➘ ",TEXT(T9,"hh:mm")))</f>
        <v>🌞 ➚ 08:44 ➘ 17:05</v>
      </c>
      <c r="Y9"/>
      <c r="Z9"/>
      <c r="AA9"/>
      <c r="AB9"/>
      <c r="AC9"/>
      <c r="AD9"/>
      <c r="AE9"/>
      <c r="AF9"/>
    </row>
    <row r="10" spans="6:33" s="206" customFormat="1" x14ac:dyDescent="0.2">
      <c r="F10" s="198">
        <f t="shared" si="11"/>
        <v>44199</v>
      </c>
      <c r="G10" s="199">
        <f t="shared" si="12"/>
        <v>3</v>
      </c>
      <c r="H10" s="200">
        <f t="shared" si="1"/>
        <v>359.95679999999999</v>
      </c>
      <c r="I10" s="200">
        <f t="shared" si="13"/>
        <v>-1.4732811426656034E-3</v>
      </c>
      <c r="J10" s="200">
        <f t="shared" si="2"/>
        <v>282.95532671885729</v>
      </c>
      <c r="K10" s="200">
        <f t="shared" si="14"/>
        <v>1.1192282594607461</v>
      </c>
      <c r="L10" s="201">
        <f t="shared" si="15"/>
        <v>4.4710199132723218</v>
      </c>
      <c r="M10" s="202">
        <f t="shared" si="16"/>
        <v>0.18629249638634673</v>
      </c>
      <c r="N10" s="203">
        <f t="shared" si="17"/>
        <v>-22.809850166410502</v>
      </c>
      <c r="O10" s="200">
        <f t="shared" si="3"/>
        <v>62.78112677524841</v>
      </c>
      <c r="P10" s="200">
        <f t="shared" si="4"/>
        <v>4.1854084516832275</v>
      </c>
      <c r="Q10" s="200">
        <f t="shared" si="5"/>
        <v>7.8145915483167725</v>
      </c>
      <c r="R10" s="200">
        <f t="shared" si="6"/>
        <v>16.185408451683227</v>
      </c>
      <c r="S10" s="204">
        <f t="shared" si="7"/>
        <v>0.36388888888888887</v>
      </c>
      <c r="T10" s="204">
        <f t="shared" si="8"/>
        <v>0.71250000000000002</v>
      </c>
      <c r="U10" s="205" t="str">
        <f t="shared" si="10"/>
        <v>H</v>
      </c>
      <c r="V10" s="272">
        <f t="shared" si="9"/>
        <v>1</v>
      </c>
      <c r="W10" s="207" t="str">
        <f>IF(Introduction!$E$7=1,CONCATENATE("🌞 ➚ ",TEXT(S10,"hh:mm")," ","➘ ",TEXT(T10,"hh:mm")),CONCATENATE("☼ ➚ ",TEXT(S10,"hh:mm")," ","➘ ",TEXT(T10,"hh:mm")))</f>
        <v>🌞 ➚ 08:44 ➘ 17:06</v>
      </c>
      <c r="Y10" s="248" t="s">
        <v>440</v>
      </c>
      <c r="Z10" s="249" t="s">
        <v>473</v>
      </c>
      <c r="AA10" s="248" t="s">
        <v>474</v>
      </c>
      <c r="AB10" s="248" t="s">
        <v>475</v>
      </c>
      <c r="AC10" s="248" t="s">
        <v>420</v>
      </c>
      <c r="AD10" s="248" t="s">
        <v>509</v>
      </c>
      <c r="AE10" s="250" t="s">
        <v>510</v>
      </c>
      <c r="AF10" s="251" t="s">
        <v>476</v>
      </c>
      <c r="AG10" s="251" t="s">
        <v>477</v>
      </c>
    </row>
    <row r="11" spans="6:33" s="206" customFormat="1" x14ac:dyDescent="0.2">
      <c r="F11" s="198">
        <f t="shared" si="11"/>
        <v>44200</v>
      </c>
      <c r="G11" s="199">
        <f t="shared" si="12"/>
        <v>4</v>
      </c>
      <c r="H11" s="200">
        <f t="shared" si="1"/>
        <v>0.94240000000002055</v>
      </c>
      <c r="I11" s="200">
        <f t="shared" si="13"/>
        <v>3.2137820416675733E-2</v>
      </c>
      <c r="J11" s="200">
        <f t="shared" si="2"/>
        <v>283.97453782041669</v>
      </c>
      <c r="K11" s="200">
        <f t="shared" si="14"/>
        <v>1.1996674331129962</v>
      </c>
      <c r="L11" s="201">
        <f t="shared" si="15"/>
        <v>4.9272210141186878</v>
      </c>
      <c r="M11" s="202">
        <f t="shared" si="16"/>
        <v>0.20530087558827867</v>
      </c>
      <c r="N11" s="203">
        <f t="shared" si="17"/>
        <v>-22.707473307010076</v>
      </c>
      <c r="O11" s="200">
        <f t="shared" si="3"/>
        <v>62.934822572033298</v>
      </c>
      <c r="P11" s="200">
        <f t="shared" si="4"/>
        <v>4.1956548381355532</v>
      </c>
      <c r="Q11" s="200">
        <f t="shared" si="5"/>
        <v>7.8043451618644468</v>
      </c>
      <c r="R11" s="200">
        <f t="shared" si="6"/>
        <v>16.195654838135553</v>
      </c>
      <c r="S11" s="204">
        <f t="shared" si="7"/>
        <v>0.36388888888888887</v>
      </c>
      <c r="T11" s="204">
        <f t="shared" si="8"/>
        <v>0.71319444444444446</v>
      </c>
      <c r="U11" s="205" t="str">
        <f t="shared" si="10"/>
        <v>H</v>
      </c>
      <c r="V11" s="272">
        <f t="shared" si="9"/>
        <v>1</v>
      </c>
      <c r="W11" s="207" t="str">
        <f>IF(Introduction!$E$7=1,CONCATENATE("🌞 ➚ ",TEXT(S11,"hh:mm")," ","➘ ",TEXT(T11,"hh:mm")),CONCATENATE("☼ ➚ ",TEXT(S11,"hh:mm")," ","➘ ",TEXT(T11,"hh:mm")))</f>
        <v>🌞 ➚ 08:44 ➘ 17:07</v>
      </c>
      <c r="Y11" s="216">
        <v>1</v>
      </c>
      <c r="Z11" s="252" t="s">
        <v>478</v>
      </c>
      <c r="AA11" s="253" t="s">
        <v>479</v>
      </c>
      <c r="AB11" s="273" t="str">
        <f t="shared" ref="AB11:AB54" si="18">Z11&amp;" : "&amp;AA11</f>
        <v>BE : Bruxelles</v>
      </c>
      <c r="AC11" s="217">
        <v>50.854509</v>
      </c>
      <c r="AD11" s="217">
        <v>4.3560790000000003</v>
      </c>
      <c r="AE11" s="217">
        <f t="shared" ref="AE11:AE54" si="19">IF(AD11&gt;0,-AD11,ABS(AD11))</f>
        <v>-4.3560790000000003</v>
      </c>
      <c r="AF11" s="254">
        <v>1</v>
      </c>
      <c r="AG11" s="254">
        <f t="shared" ref="AG11:AG54" si="20">AF11+1</f>
        <v>2</v>
      </c>
    </row>
    <row r="12" spans="6:33" s="206" customFormat="1" x14ac:dyDescent="0.2">
      <c r="F12" s="198">
        <f t="shared" si="11"/>
        <v>44201</v>
      </c>
      <c r="G12" s="199">
        <f t="shared" si="12"/>
        <v>5</v>
      </c>
      <c r="H12" s="200">
        <f t="shared" si="1"/>
        <v>1.9279999999999973</v>
      </c>
      <c r="I12" s="200">
        <f t="shared" si="13"/>
        <v>6.5738828512433969E-2</v>
      </c>
      <c r="J12" s="200">
        <f t="shared" si="2"/>
        <v>284.99373882851245</v>
      </c>
      <c r="K12" s="200">
        <f t="shared" si="14"/>
        <v>1.2784209765831331</v>
      </c>
      <c r="L12" s="201">
        <f t="shared" si="15"/>
        <v>5.3766392203822688</v>
      </c>
      <c r="M12" s="202">
        <f t="shared" si="16"/>
        <v>0.22402663418259453</v>
      </c>
      <c r="N12" s="203">
        <f t="shared" si="17"/>
        <v>-22.597593266065726</v>
      </c>
      <c r="O12" s="200">
        <f t="shared" si="3"/>
        <v>63.099299208874115</v>
      </c>
      <c r="P12" s="200">
        <f t="shared" si="4"/>
        <v>4.2066199472582744</v>
      </c>
      <c r="Q12" s="200">
        <f t="shared" si="5"/>
        <v>7.7933800527417256</v>
      </c>
      <c r="R12" s="200">
        <f t="shared" si="6"/>
        <v>16.206619947258275</v>
      </c>
      <c r="S12" s="204">
        <f t="shared" si="7"/>
        <v>0.36388888888888887</v>
      </c>
      <c r="T12" s="204">
        <f t="shared" si="8"/>
        <v>0.71388888888888891</v>
      </c>
      <c r="U12" s="205" t="str">
        <f t="shared" si="10"/>
        <v>H</v>
      </c>
      <c r="V12" s="272">
        <f t="shared" si="9"/>
        <v>1</v>
      </c>
      <c r="W12" s="207" t="str">
        <f>IF(Introduction!$E$7=1,CONCATENATE("🌞 ➚ ",TEXT(S12,"hh:mm")," ","➘ ",TEXT(T12,"hh:mm")),CONCATENATE("☼ ➚ ",TEXT(S12,"hh:mm")," ","➘ ",TEXT(T12,"hh:mm")))</f>
        <v>🌞 ➚ 08:44 ➘ 17:08</v>
      </c>
      <c r="Y12" s="264">
        <v>2</v>
      </c>
      <c r="Z12" s="265" t="s">
        <v>480</v>
      </c>
      <c r="AA12" s="266" t="s">
        <v>481</v>
      </c>
      <c r="AB12" s="267" t="str">
        <f t="shared" si="18"/>
        <v>CH : Zurich</v>
      </c>
      <c r="AC12" s="268">
        <v>47.390912</v>
      </c>
      <c r="AD12" s="268">
        <v>8.5418699999999994</v>
      </c>
      <c r="AE12" s="268">
        <f t="shared" si="19"/>
        <v>-8.5418699999999994</v>
      </c>
      <c r="AF12" s="269">
        <v>1</v>
      </c>
      <c r="AG12" s="269">
        <f t="shared" si="20"/>
        <v>2</v>
      </c>
    </row>
    <row r="13" spans="6:33" s="206" customFormat="1" x14ac:dyDescent="0.2">
      <c r="F13" s="198">
        <f t="shared" si="11"/>
        <v>44202</v>
      </c>
      <c r="G13" s="199">
        <f t="shared" si="12"/>
        <v>6</v>
      </c>
      <c r="H13" s="200">
        <f t="shared" si="1"/>
        <v>2.913599999999974</v>
      </c>
      <c r="I13" s="200">
        <f t="shared" si="13"/>
        <v>9.9319190644591854E-2</v>
      </c>
      <c r="J13" s="200">
        <f t="shared" si="2"/>
        <v>286.01291919064454</v>
      </c>
      <c r="K13" s="200">
        <f t="shared" si="14"/>
        <v>1.3553808896016362</v>
      </c>
      <c r="L13" s="201">
        <f t="shared" si="15"/>
        <v>5.818800320984912</v>
      </c>
      <c r="M13" s="202">
        <f t="shared" si="16"/>
        <v>0.24245001337437133</v>
      </c>
      <c r="N13" s="203">
        <f t="shared" si="17"/>
        <v>-22.480263832653435</v>
      </c>
      <c r="O13" s="200">
        <f t="shared" si="3"/>
        <v>63.274379928358769</v>
      </c>
      <c r="P13" s="200">
        <f t="shared" si="4"/>
        <v>4.2182919952239182</v>
      </c>
      <c r="Q13" s="200">
        <f t="shared" si="5"/>
        <v>7.7817080047760818</v>
      </c>
      <c r="R13" s="200">
        <f t="shared" si="6"/>
        <v>16.218291995223918</v>
      </c>
      <c r="S13" s="204">
        <f t="shared" si="7"/>
        <v>0.36319444444444443</v>
      </c>
      <c r="T13" s="204">
        <f t="shared" si="8"/>
        <v>0.71527777777777779</v>
      </c>
      <c r="U13" s="205" t="str">
        <f t="shared" si="10"/>
        <v>H</v>
      </c>
      <c r="V13" s="272">
        <f t="shared" si="9"/>
        <v>1</v>
      </c>
      <c r="W13" s="207" t="str">
        <f>IF(Introduction!$E$7=1,CONCATENATE("🌞 ➚ ",TEXT(S13,"hh:mm")," ","➘ ",TEXT(T13,"hh:mm")),CONCATENATE("☼ ➚ ",TEXT(S13,"hh:mm")," ","➘ ",TEXT(T13,"hh:mm")))</f>
        <v>🌞 ➚ 08:43 ➘ 17:10</v>
      </c>
      <c r="Y13" s="264">
        <v>3</v>
      </c>
      <c r="Z13" s="265" t="s">
        <v>482</v>
      </c>
      <c r="AA13" s="266" t="s">
        <v>483</v>
      </c>
      <c r="AB13" s="267" t="str">
        <f t="shared" si="18"/>
        <v>DE : Berlin</v>
      </c>
      <c r="AC13" s="268">
        <v>52.509535</v>
      </c>
      <c r="AD13" s="268">
        <v>13.381347999999999</v>
      </c>
      <c r="AE13" s="268">
        <f t="shared" si="19"/>
        <v>-13.381347999999999</v>
      </c>
      <c r="AF13" s="269">
        <v>1</v>
      </c>
      <c r="AG13" s="269">
        <f t="shared" si="20"/>
        <v>2</v>
      </c>
    </row>
    <row r="14" spans="6:33" s="206" customFormat="1" x14ac:dyDescent="0.2">
      <c r="F14" s="198">
        <f t="shared" si="11"/>
        <v>44203</v>
      </c>
      <c r="G14" s="199">
        <f t="shared" si="12"/>
        <v>7</v>
      </c>
      <c r="H14" s="200">
        <f t="shared" si="1"/>
        <v>3.8992000000000075</v>
      </c>
      <c r="I14" s="200">
        <f t="shared" si="13"/>
        <v>0.13286836183518513</v>
      </c>
      <c r="J14" s="200">
        <f t="shared" si="2"/>
        <v>287.03206836183517</v>
      </c>
      <c r="K14" s="200">
        <f t="shared" si="14"/>
        <v>1.430442408650427</v>
      </c>
      <c r="L14" s="201">
        <f t="shared" si="15"/>
        <v>6.2532430819424487</v>
      </c>
      <c r="M14" s="202">
        <f t="shared" si="16"/>
        <v>0.26055179508093534</v>
      </c>
      <c r="N14" s="203">
        <f t="shared" si="17"/>
        <v>-22.355542339780584</v>
      </c>
      <c r="O14" s="200">
        <f t="shared" si="3"/>
        <v>63.459879123306017</v>
      </c>
      <c r="P14" s="200">
        <f t="shared" si="4"/>
        <v>4.2306586082204012</v>
      </c>
      <c r="Q14" s="200">
        <f t="shared" si="5"/>
        <v>7.7693413917795988</v>
      </c>
      <c r="R14" s="200">
        <f t="shared" si="6"/>
        <v>16.230658608220402</v>
      </c>
      <c r="S14" s="204">
        <f t="shared" si="7"/>
        <v>0.36319444444444443</v>
      </c>
      <c r="T14" s="204">
        <f t="shared" si="8"/>
        <v>0.71597222222222223</v>
      </c>
      <c r="U14" s="205" t="str">
        <f t="shared" si="10"/>
        <v>H</v>
      </c>
      <c r="V14" s="272">
        <f t="shared" si="9"/>
        <v>1</v>
      </c>
      <c r="W14" s="207" t="str">
        <f>IF(Introduction!$E$7=1,CONCATENATE("🌞 ➚ ",TEXT(S14,"hh:mm")," ","➘ ",TEXT(T14,"hh:mm")),CONCATENATE("☼ ➚ ",TEXT(S14,"hh:mm")," ","➘ ",TEXT(T14,"hh:mm")))</f>
        <v>🌞 ➚ 08:43 ➘ 17:11</v>
      </c>
      <c r="Y14" s="264">
        <v>4</v>
      </c>
      <c r="Z14" s="255" t="s">
        <v>482</v>
      </c>
      <c r="AA14" s="256" t="s">
        <v>484</v>
      </c>
      <c r="AB14" s="257" t="str">
        <f t="shared" si="18"/>
        <v>DE : Francfort</v>
      </c>
      <c r="AC14" s="218">
        <v>50.176898000000001</v>
      </c>
      <c r="AD14" s="218">
        <v>8.6352539999999998</v>
      </c>
      <c r="AE14" s="218">
        <f t="shared" si="19"/>
        <v>-8.6352539999999998</v>
      </c>
      <c r="AF14" s="254">
        <v>1</v>
      </c>
      <c r="AG14" s="254">
        <f t="shared" si="20"/>
        <v>2</v>
      </c>
    </row>
    <row r="15" spans="6:33" s="206" customFormat="1" x14ac:dyDescent="0.2">
      <c r="F15" s="198">
        <f t="shared" si="11"/>
        <v>44204</v>
      </c>
      <c r="G15" s="199">
        <f t="shared" si="12"/>
        <v>8</v>
      </c>
      <c r="H15" s="200">
        <f t="shared" si="1"/>
        <v>4.8847999999999843</v>
      </c>
      <c r="I15" s="200">
        <f t="shared" si="13"/>
        <v>0.16637580846877362</v>
      </c>
      <c r="J15" s="200">
        <f t="shared" si="2"/>
        <v>288.05117580846877</v>
      </c>
      <c r="K15" s="200">
        <f t="shared" si="14"/>
        <v>1.5035041828308475</v>
      </c>
      <c r="L15" s="201">
        <f t="shared" si="15"/>
        <v>6.6795199651984847</v>
      </c>
      <c r="M15" s="202">
        <f t="shared" si="16"/>
        <v>0.27831333188327018</v>
      </c>
      <c r="N15" s="203">
        <f t="shared" si="17"/>
        <v>-22.223489574370788</v>
      </c>
      <c r="O15" s="200">
        <f t="shared" si="3"/>
        <v>63.655603028302586</v>
      </c>
      <c r="P15" s="200">
        <f t="shared" si="4"/>
        <v>4.243706868553506</v>
      </c>
      <c r="Q15" s="200">
        <f t="shared" si="5"/>
        <v>7.756293131446494</v>
      </c>
      <c r="R15" s="200">
        <f t="shared" si="6"/>
        <v>16.243706868553506</v>
      </c>
      <c r="S15" s="204">
        <f t="shared" si="7"/>
        <v>0.36319444444444443</v>
      </c>
      <c r="T15" s="204">
        <f t="shared" si="8"/>
        <v>0.71666666666666667</v>
      </c>
      <c r="U15" s="205" t="str">
        <f t="shared" si="10"/>
        <v>H</v>
      </c>
      <c r="V15" s="272">
        <f t="shared" si="9"/>
        <v>1</v>
      </c>
      <c r="W15" s="207" t="str">
        <f>IF(Introduction!$E$7=1,CONCATENATE("🌞 ➚ ",TEXT(S15,"hh:mm")," ","➘ ",TEXT(T15,"hh:mm")),CONCATENATE("☼ ➚ ",TEXT(S15,"hh:mm")," ","➘ ",TEXT(T15,"hh:mm")))</f>
        <v>🌞 ➚ 08:43 ➘ 17:12</v>
      </c>
      <c r="Y15" s="264">
        <v>5</v>
      </c>
      <c r="Z15" s="265" t="s">
        <v>485</v>
      </c>
      <c r="AA15" s="266" t="s">
        <v>486</v>
      </c>
      <c r="AB15" s="267" t="str">
        <f t="shared" si="18"/>
        <v>ES : Barcelone</v>
      </c>
      <c r="AC15" s="268">
        <v>41.409776000000001</v>
      </c>
      <c r="AD15" s="268">
        <v>2.1862789999999999</v>
      </c>
      <c r="AE15" s="268">
        <f t="shared" si="19"/>
        <v>-2.1862789999999999</v>
      </c>
      <c r="AF15" s="269">
        <v>1</v>
      </c>
      <c r="AG15" s="269">
        <f t="shared" si="20"/>
        <v>2</v>
      </c>
    </row>
    <row r="16" spans="6:33" s="206" customFormat="1" x14ac:dyDescent="0.2">
      <c r="F16" s="198">
        <f t="shared" si="11"/>
        <v>44205</v>
      </c>
      <c r="G16" s="199">
        <f t="shared" si="12"/>
        <v>9</v>
      </c>
      <c r="H16" s="200">
        <f t="shared" si="1"/>
        <v>5.8704000000000178</v>
      </c>
      <c r="I16" s="200">
        <f t="shared" si="13"/>
        <v>0.19983101212704391</v>
      </c>
      <c r="J16" s="200">
        <f t="shared" si="2"/>
        <v>289.07023101212707</v>
      </c>
      <c r="K16" s="200">
        <f t="shared" si="14"/>
        <v>1.5744684400832767</v>
      </c>
      <c r="L16" s="201">
        <f t="shared" si="15"/>
        <v>7.0971978088412824</v>
      </c>
      <c r="M16" s="202">
        <f t="shared" si="16"/>
        <v>0.29571657536838675</v>
      </c>
      <c r="N16" s="203">
        <f t="shared" si="17"/>
        <v>-22.084169683093148</v>
      </c>
      <c r="O16" s="200">
        <f t="shared" si="3"/>
        <v>63.861350423391798</v>
      </c>
      <c r="P16" s="200">
        <f t="shared" si="4"/>
        <v>4.2574233615594528</v>
      </c>
      <c r="Q16" s="200">
        <f t="shared" si="5"/>
        <v>7.7425766384405472</v>
      </c>
      <c r="R16" s="200">
        <f t="shared" si="6"/>
        <v>16.257423361559454</v>
      </c>
      <c r="S16" s="204">
        <f t="shared" si="7"/>
        <v>0.36249999999999999</v>
      </c>
      <c r="T16" s="204">
        <f t="shared" si="8"/>
        <v>0.71736111111111101</v>
      </c>
      <c r="U16" s="205" t="str">
        <f t="shared" si="10"/>
        <v>H</v>
      </c>
      <c r="V16" s="272">
        <f t="shared" si="9"/>
        <v>1</v>
      </c>
      <c r="W16" s="207" t="str">
        <f>IF(Introduction!$E$7=1,CONCATENATE("🌞 ➚ ",TEXT(S16,"hh:mm")," ","➘ ",TEXT(T16,"hh:mm")),CONCATENATE("☼ ➚ ",TEXT(S16,"hh:mm")," ","➘ ",TEXT(T16,"hh:mm")))</f>
        <v>🌞 ➚ 08:42 ➘ 17:13</v>
      </c>
      <c r="Y16" s="264">
        <v>6</v>
      </c>
      <c r="Z16" s="255" t="s">
        <v>485</v>
      </c>
      <c r="AA16" s="256" t="s">
        <v>487</v>
      </c>
      <c r="AB16" s="257" t="str">
        <f t="shared" si="18"/>
        <v>ES : Madrid</v>
      </c>
      <c r="AC16" s="218">
        <v>40.380028000000003</v>
      </c>
      <c r="AD16" s="218">
        <v>-3.7023929999999998</v>
      </c>
      <c r="AE16" s="218">
        <f t="shared" si="19"/>
        <v>3.7023929999999998</v>
      </c>
      <c r="AF16" s="254">
        <v>1</v>
      </c>
      <c r="AG16" s="254">
        <f t="shared" si="20"/>
        <v>2</v>
      </c>
    </row>
    <row r="17" spans="6:33" s="206" customFormat="1" x14ac:dyDescent="0.2">
      <c r="F17" s="198">
        <f t="shared" si="11"/>
        <v>44206</v>
      </c>
      <c r="G17" s="199">
        <f t="shared" si="12"/>
        <v>10</v>
      </c>
      <c r="H17" s="200">
        <f t="shared" si="1"/>
        <v>6.8559999999999945</v>
      </c>
      <c r="I17" s="200">
        <f t="shared" si="13"/>
        <v>0.23322347341551228</v>
      </c>
      <c r="J17" s="200">
        <f t="shared" si="2"/>
        <v>290.08922347341553</v>
      </c>
      <c r="K17" s="200">
        <f t="shared" si="14"/>
        <v>1.643241143354407</v>
      </c>
      <c r="L17" s="201">
        <f t="shared" si="15"/>
        <v>7.5058584670796771</v>
      </c>
      <c r="M17" s="202">
        <f t="shared" si="16"/>
        <v>0.31274410279498654</v>
      </c>
      <c r="N17" s="203">
        <f t="shared" si="17"/>
        <v>-21.937650074411497</v>
      </c>
      <c r="O17" s="200">
        <f t="shared" si="3"/>
        <v>64.076913345095718</v>
      </c>
      <c r="P17" s="200">
        <f t="shared" si="4"/>
        <v>4.2717942230063812</v>
      </c>
      <c r="Q17" s="200">
        <f t="shared" si="5"/>
        <v>7.7282057769936188</v>
      </c>
      <c r="R17" s="200">
        <f t="shared" si="6"/>
        <v>16.271794223006381</v>
      </c>
      <c r="S17" s="204">
        <f t="shared" si="7"/>
        <v>0.36249999999999999</v>
      </c>
      <c r="T17" s="204">
        <f t="shared" si="8"/>
        <v>0.71805555555555556</v>
      </c>
      <c r="U17" s="205" t="str">
        <f t="shared" si="10"/>
        <v>H</v>
      </c>
      <c r="V17" s="272">
        <f t="shared" si="9"/>
        <v>1</v>
      </c>
      <c r="W17" s="207" t="str">
        <f>IF(Introduction!$E$7=1,CONCATENATE("🌞 ➚ ",TEXT(S17,"hh:mm")," ","➘ ",TEXT(T17,"hh:mm")),CONCATENATE("☼ ➚ ",TEXT(S17,"hh:mm")," ","➘ ",TEXT(T17,"hh:mm")))</f>
        <v>🌞 ➚ 08:42 ➘ 17:14</v>
      </c>
      <c r="Y17" s="264">
        <v>7</v>
      </c>
      <c r="Z17" s="255" t="s">
        <v>485</v>
      </c>
      <c r="AA17" s="256" t="s">
        <v>488</v>
      </c>
      <c r="AB17" s="257" t="str">
        <f t="shared" si="18"/>
        <v>ES : Séville</v>
      </c>
      <c r="AC17" s="218">
        <v>37.405073999999999</v>
      </c>
      <c r="AD17" s="218">
        <v>-5.9655760000000004</v>
      </c>
      <c r="AE17" s="218">
        <f t="shared" si="19"/>
        <v>5.9655760000000004</v>
      </c>
      <c r="AF17" s="254">
        <v>1</v>
      </c>
      <c r="AG17" s="254">
        <f t="shared" si="20"/>
        <v>2</v>
      </c>
    </row>
    <row r="18" spans="6:33" s="206" customFormat="1" x14ac:dyDescent="0.2">
      <c r="F18" s="198">
        <f t="shared" si="11"/>
        <v>44207</v>
      </c>
      <c r="G18" s="199">
        <f t="shared" si="12"/>
        <v>11</v>
      </c>
      <c r="H18" s="200">
        <f t="shared" si="1"/>
        <v>7.8415999999999713</v>
      </c>
      <c r="I18" s="200">
        <f t="shared" si="13"/>
        <v>0.26654271578040784</v>
      </c>
      <c r="J18" s="200">
        <f t="shared" si="2"/>
        <v>291.10814271578045</v>
      </c>
      <c r="K18" s="200">
        <f t="shared" si="14"/>
        <v>1.7097321363509546</v>
      </c>
      <c r="L18" s="201">
        <f t="shared" si="15"/>
        <v>7.9050994085254498</v>
      </c>
      <c r="M18" s="202">
        <f t="shared" si="16"/>
        <v>0.32937914202189372</v>
      </c>
      <c r="N18" s="203">
        <f t="shared" si="17"/>
        <v>-21.78400131723561</v>
      </c>
      <c r="O18" s="200">
        <f t="shared" si="3"/>
        <v>64.302077800119051</v>
      </c>
      <c r="P18" s="200">
        <f t="shared" si="4"/>
        <v>4.2868051866746031</v>
      </c>
      <c r="Q18" s="200">
        <f t="shared" si="5"/>
        <v>7.7131948133253969</v>
      </c>
      <c r="R18" s="200">
        <f t="shared" si="6"/>
        <v>16.286805186674602</v>
      </c>
      <c r="S18" s="204">
        <f t="shared" si="7"/>
        <v>0.36180555555555555</v>
      </c>
      <c r="T18" s="204">
        <f t="shared" si="8"/>
        <v>0.71944444444444444</v>
      </c>
      <c r="U18" s="205" t="str">
        <f t="shared" si="10"/>
        <v>H</v>
      </c>
      <c r="V18" s="272">
        <f t="shared" si="9"/>
        <v>1</v>
      </c>
      <c r="W18" s="207" t="str">
        <f>IF(Introduction!$E$7=1,CONCATENATE("🌞 ➚ ",TEXT(S18,"hh:mm")," ","➘ ",TEXT(T18,"hh:mm")),CONCATENATE("☼ ➚ ",TEXT(S18,"hh:mm")," ","➘ ",TEXT(T18,"hh:mm")))</f>
        <v>🌞 ➚ 08:41 ➘ 17:16</v>
      </c>
      <c r="Y18" s="264">
        <v>8</v>
      </c>
      <c r="Z18" s="255" t="s">
        <v>485</v>
      </c>
      <c r="AA18" s="256" t="s">
        <v>489</v>
      </c>
      <c r="AB18" s="257" t="str">
        <f t="shared" si="18"/>
        <v>ES : Valence</v>
      </c>
      <c r="AC18" s="218">
        <v>39.520992</v>
      </c>
      <c r="AD18" s="218">
        <v>-0.36254900000000001</v>
      </c>
      <c r="AE18" s="218">
        <f t="shared" si="19"/>
        <v>0.36254900000000001</v>
      </c>
      <c r="AF18" s="254">
        <v>1</v>
      </c>
      <c r="AG18" s="254">
        <f t="shared" si="20"/>
        <v>2</v>
      </c>
    </row>
    <row r="19" spans="6:33" s="206" customFormat="1" x14ac:dyDescent="0.2">
      <c r="F19" s="198">
        <f t="shared" si="11"/>
        <v>44208</v>
      </c>
      <c r="G19" s="199">
        <f t="shared" si="12"/>
        <v>12</v>
      </c>
      <c r="H19" s="200">
        <f t="shared" si="1"/>
        <v>8.8272000000000048</v>
      </c>
      <c r="I19" s="200">
        <f t="shared" si="13"/>
        <v>0.29977828931371819</v>
      </c>
      <c r="J19" s="200">
        <f t="shared" si="2"/>
        <v>292.12697828931374</v>
      </c>
      <c r="K19" s="200">
        <f t="shared" si="14"/>
        <v>1.7738552785622956</v>
      </c>
      <c r="L19" s="201">
        <f t="shared" si="15"/>
        <v>8.2945342715040553</v>
      </c>
      <c r="M19" s="202">
        <f t="shared" si="16"/>
        <v>0.34560559464600232</v>
      </c>
      <c r="N19" s="203">
        <f t="shared" si="17"/>
        <v>-21.623297036560913</v>
      </c>
      <c r="O19" s="200">
        <f t="shared" si="3"/>
        <v>64.536624477289109</v>
      </c>
      <c r="P19" s="200">
        <f t="shared" si="4"/>
        <v>4.3024416318192742</v>
      </c>
      <c r="Q19" s="200">
        <f t="shared" si="5"/>
        <v>7.6975583681807258</v>
      </c>
      <c r="R19" s="200">
        <f t="shared" si="6"/>
        <v>16.302441631819274</v>
      </c>
      <c r="S19" s="204">
        <f t="shared" si="7"/>
        <v>0.36180555555555555</v>
      </c>
      <c r="T19" s="204">
        <f t="shared" si="8"/>
        <v>0.72013888888888899</v>
      </c>
      <c r="U19" s="205" t="str">
        <f t="shared" si="10"/>
        <v>H</v>
      </c>
      <c r="V19" s="272">
        <f t="shared" si="9"/>
        <v>1</v>
      </c>
      <c r="W19" s="207" t="str">
        <f>IF(Introduction!$E$7=1,CONCATENATE("🌞 ➚ ",TEXT(S19,"hh:mm")," ","➘ ",TEXT(T19,"hh:mm")),CONCATENATE("☼ ➚ ",TEXT(S19,"hh:mm")," ","➘ ",TEXT(T19,"hh:mm")))</f>
        <v>🌞 ➚ 08:41 ➘ 17:17</v>
      </c>
      <c r="Y19" s="264">
        <v>9</v>
      </c>
      <c r="Z19" s="270" t="s">
        <v>490</v>
      </c>
      <c r="AA19" s="264" t="s">
        <v>462</v>
      </c>
      <c r="AB19" s="267" t="str">
        <f t="shared" si="18"/>
        <v>FR : Ajaccio</v>
      </c>
      <c r="AC19" s="268">
        <v>41.916666999999997</v>
      </c>
      <c r="AD19" s="268">
        <v>8.733333</v>
      </c>
      <c r="AE19" s="268">
        <f t="shared" si="19"/>
        <v>-8.733333</v>
      </c>
      <c r="AF19" s="269">
        <v>1</v>
      </c>
      <c r="AG19" s="269">
        <f t="shared" si="20"/>
        <v>2</v>
      </c>
    </row>
    <row r="20" spans="6:33" s="206" customFormat="1" x14ac:dyDescent="0.2">
      <c r="F20" s="198">
        <f t="shared" si="11"/>
        <v>44209</v>
      </c>
      <c r="G20" s="199">
        <f t="shared" si="12"/>
        <v>13</v>
      </c>
      <c r="H20" s="200">
        <f t="shared" si="1"/>
        <v>9.8127999999999815</v>
      </c>
      <c r="I20" s="200">
        <f t="shared" si="13"/>
        <v>0.33291977454445648</v>
      </c>
      <c r="J20" s="200">
        <f t="shared" si="2"/>
        <v>293.14571977454443</v>
      </c>
      <c r="K20" s="200">
        <f t="shared" si="14"/>
        <v>1.8355285692795633</v>
      </c>
      <c r="L20" s="201">
        <f t="shared" si="15"/>
        <v>8.6737933752960785</v>
      </c>
      <c r="M20" s="202">
        <f t="shared" si="16"/>
        <v>0.36140805730400327</v>
      </c>
      <c r="N20" s="203">
        <f t="shared" si="17"/>
        <v>-21.455613806484731</v>
      </c>
      <c r="O20" s="200">
        <f t="shared" si="3"/>
        <v>64.78032945353246</v>
      </c>
      <c r="P20" s="200">
        <f t="shared" si="4"/>
        <v>4.3186886302354974</v>
      </c>
      <c r="Q20" s="200">
        <f t="shared" si="5"/>
        <v>7.6813113697645026</v>
      </c>
      <c r="R20" s="200">
        <f t="shared" si="6"/>
        <v>16.318688630235499</v>
      </c>
      <c r="S20" s="204">
        <f t="shared" si="7"/>
        <v>0.3611111111111111</v>
      </c>
      <c r="T20" s="204">
        <f t="shared" si="8"/>
        <v>0.72083333333333333</v>
      </c>
      <c r="U20" s="205" t="str">
        <f t="shared" si="10"/>
        <v>H</v>
      </c>
      <c r="V20" s="272">
        <f t="shared" si="9"/>
        <v>1</v>
      </c>
      <c r="W20" s="207" t="str">
        <f>IF(Introduction!$E$7=1,CONCATENATE("🌞 ➚ ",TEXT(S20,"hh:mm")," ","➘ ",TEXT(T20,"hh:mm")),CONCATENATE("☼ ➚ ",TEXT(S20,"hh:mm")," ","➘ ",TEXT(T20,"hh:mm")))</f>
        <v>🌞 ➚ 08:40 ➘ 17:18</v>
      </c>
      <c r="Y20" s="264">
        <v>10</v>
      </c>
      <c r="Z20" s="258" t="s">
        <v>490</v>
      </c>
      <c r="AA20" s="210" t="s">
        <v>442</v>
      </c>
      <c r="AB20" s="257" t="str">
        <f t="shared" si="18"/>
        <v>FR : Amiens</v>
      </c>
      <c r="AC20" s="218">
        <v>49.9</v>
      </c>
      <c r="AD20" s="218">
        <v>2.2999999999999998</v>
      </c>
      <c r="AE20" s="218">
        <f t="shared" si="19"/>
        <v>-2.2999999999999998</v>
      </c>
      <c r="AF20" s="254">
        <v>1</v>
      </c>
      <c r="AG20" s="254">
        <f t="shared" si="20"/>
        <v>2</v>
      </c>
    </row>
    <row r="21" spans="6:33" s="206" customFormat="1" x14ac:dyDescent="0.2">
      <c r="F21" s="198">
        <f t="shared" si="11"/>
        <v>44210</v>
      </c>
      <c r="G21" s="199">
        <f t="shared" si="12"/>
        <v>14</v>
      </c>
      <c r="H21" s="200">
        <f t="shared" si="1"/>
        <v>10.798400000000015</v>
      </c>
      <c r="I21" s="200">
        <f t="shared" si="13"/>
        <v>0.36595678621421945</v>
      </c>
      <c r="J21" s="200">
        <f t="shared" si="2"/>
        <v>294.16435678621423</v>
      </c>
      <c r="K21" s="200">
        <f t="shared" si="14"/>
        <v>1.8946742603842635</v>
      </c>
      <c r="L21" s="201">
        <f t="shared" si="15"/>
        <v>9.0425241863939316</v>
      </c>
      <c r="M21" s="202">
        <f t="shared" si="16"/>
        <v>0.37677184109974715</v>
      </c>
      <c r="N21" s="203">
        <f t="shared" si="17"/>
        <v>-21.281031040987411</v>
      </c>
      <c r="O21" s="200">
        <f t="shared" si="3"/>
        <v>65.032964889963353</v>
      </c>
      <c r="P21" s="200">
        <f t="shared" si="4"/>
        <v>4.3355309926642231</v>
      </c>
      <c r="Q21" s="200">
        <f t="shared" si="5"/>
        <v>7.6644690073357769</v>
      </c>
      <c r="R21" s="200">
        <f t="shared" si="6"/>
        <v>16.335530992664225</v>
      </c>
      <c r="S21" s="204">
        <f t="shared" si="7"/>
        <v>0.3611111111111111</v>
      </c>
      <c r="T21" s="204">
        <f t="shared" si="8"/>
        <v>0.72222222222222221</v>
      </c>
      <c r="U21" s="205" t="str">
        <f t="shared" si="10"/>
        <v>H</v>
      </c>
      <c r="V21" s="272">
        <f t="shared" si="9"/>
        <v>1</v>
      </c>
      <c r="W21" s="207" t="str">
        <f>IF(Introduction!$E$7=1,CONCATENATE("🌞 ➚ ",TEXT(S21,"hh:mm")," ","➘ ",TEXT(T21,"hh:mm")),CONCATENATE("☼ ➚ ",TEXT(S21,"hh:mm")," ","➘ ",TEXT(T21,"hh:mm")))</f>
        <v>🌞 ➚ 08:40 ➘ 17:20</v>
      </c>
      <c r="Y21" s="264">
        <v>11</v>
      </c>
      <c r="Z21" s="258" t="s">
        <v>490</v>
      </c>
      <c r="AA21" s="210" t="s">
        <v>452</v>
      </c>
      <c r="AB21" s="257" t="str">
        <f t="shared" si="18"/>
        <v>FR : Besançon</v>
      </c>
      <c r="AC21" s="218">
        <v>47.25</v>
      </c>
      <c r="AD21" s="218">
        <v>6.0333329999999998</v>
      </c>
      <c r="AE21" s="218">
        <f t="shared" si="19"/>
        <v>-6.0333329999999998</v>
      </c>
      <c r="AF21" s="254">
        <v>1</v>
      </c>
      <c r="AG21" s="254">
        <f t="shared" si="20"/>
        <v>2</v>
      </c>
    </row>
    <row r="22" spans="6:33" s="206" customFormat="1" x14ac:dyDescent="0.2">
      <c r="F22" s="198">
        <f t="shared" si="11"/>
        <v>44211</v>
      </c>
      <c r="G22" s="199">
        <f t="shared" si="12"/>
        <v>15</v>
      </c>
      <c r="H22" s="200">
        <f t="shared" si="1"/>
        <v>11.783999999999992</v>
      </c>
      <c r="I22" s="200">
        <f t="shared" si="13"/>
        <v>0.39887897703505232</v>
      </c>
      <c r="J22" s="200">
        <f t="shared" si="2"/>
        <v>295.18287897703505</v>
      </c>
      <c r="K22" s="200">
        <f t="shared" si="14"/>
        <v>1.9512189577258885</v>
      </c>
      <c r="L22" s="201">
        <f t="shared" si="15"/>
        <v>9.4003917390437639</v>
      </c>
      <c r="M22" s="202">
        <f t="shared" si="16"/>
        <v>0.39168298912682348</v>
      </c>
      <c r="N22" s="203">
        <f t="shared" si="17"/>
        <v>-21.09963088286343</v>
      </c>
      <c r="O22" s="200">
        <f t="shared" si="3"/>
        <v>65.294299714461275</v>
      </c>
      <c r="P22" s="200">
        <f t="shared" si="4"/>
        <v>4.3529533142974186</v>
      </c>
      <c r="Q22" s="200">
        <f t="shared" si="5"/>
        <v>7.6470466857025814</v>
      </c>
      <c r="R22" s="200">
        <f t="shared" si="6"/>
        <v>16.352953314297419</v>
      </c>
      <c r="S22" s="204">
        <f t="shared" si="7"/>
        <v>0.36041666666666666</v>
      </c>
      <c r="T22" s="204">
        <f t="shared" si="8"/>
        <v>0.72291666666666676</v>
      </c>
      <c r="U22" s="205" t="str">
        <f t="shared" si="10"/>
        <v>H</v>
      </c>
      <c r="V22" s="272">
        <f t="shared" si="9"/>
        <v>1</v>
      </c>
      <c r="W22" s="207" t="str">
        <f>IF(Introduction!$E$7=1,CONCATENATE("🌞 ➚ ",TEXT(S22,"hh:mm")," ","➘ ",TEXT(T22,"hh:mm")),CONCATENATE("☼ ➚ ",TEXT(S22,"hh:mm")," ","➘ ",TEXT(T22,"hh:mm")))</f>
        <v>🌞 ➚ 08:39 ➘ 17:21</v>
      </c>
      <c r="Y22" s="264">
        <v>12</v>
      </c>
      <c r="Z22" s="258" t="s">
        <v>490</v>
      </c>
      <c r="AA22" s="210" t="s">
        <v>458</v>
      </c>
      <c r="AB22" s="257" t="str">
        <f t="shared" si="18"/>
        <v>FR : Bordeaux</v>
      </c>
      <c r="AC22" s="218">
        <v>44.833333000000003</v>
      </c>
      <c r="AD22" s="218">
        <v>-0.56666700000000003</v>
      </c>
      <c r="AE22" s="218">
        <f t="shared" si="19"/>
        <v>0.56666700000000003</v>
      </c>
      <c r="AF22" s="254">
        <v>1</v>
      </c>
      <c r="AG22" s="254">
        <f t="shared" si="20"/>
        <v>2</v>
      </c>
    </row>
    <row r="23" spans="6:33" s="206" customFormat="1" x14ac:dyDescent="0.2">
      <c r="F23" s="198">
        <f t="shared" si="11"/>
        <v>44212</v>
      </c>
      <c r="G23" s="199">
        <f t="shared" si="12"/>
        <v>16</v>
      </c>
      <c r="H23" s="200">
        <f t="shared" si="1"/>
        <v>12.769600000000025</v>
      </c>
      <c r="I23" s="200">
        <f t="shared" si="13"/>
        <v>0.4316760414277569</v>
      </c>
      <c r="J23" s="200">
        <f t="shared" si="2"/>
        <v>296.20127604142777</v>
      </c>
      <c r="K23" s="200">
        <f t="shared" si="14"/>
        <v>2.0050937109546769</v>
      </c>
      <c r="L23" s="201">
        <f t="shared" si="15"/>
        <v>9.7470790095297346</v>
      </c>
      <c r="M23" s="202">
        <f t="shared" si="16"/>
        <v>0.40612829206373896</v>
      </c>
      <c r="N23" s="203">
        <f t="shared" si="17"/>
        <v>-20.911498091182864</v>
      </c>
      <c r="O23" s="200">
        <f t="shared" si="3"/>
        <v>65.564100287434812</v>
      </c>
      <c r="P23" s="200">
        <f t="shared" si="4"/>
        <v>4.3709400191623207</v>
      </c>
      <c r="Q23" s="200">
        <f t="shared" si="5"/>
        <v>7.6290599808376793</v>
      </c>
      <c r="R23" s="200">
        <f t="shared" si="6"/>
        <v>16.370940019162319</v>
      </c>
      <c r="S23" s="204">
        <f t="shared" si="7"/>
        <v>0.35972222222222222</v>
      </c>
      <c r="T23" s="204">
        <f t="shared" si="8"/>
        <v>0.72430555555555554</v>
      </c>
      <c r="U23" s="205" t="str">
        <f t="shared" si="10"/>
        <v>H</v>
      </c>
      <c r="V23" s="272">
        <f t="shared" si="9"/>
        <v>1</v>
      </c>
      <c r="W23" s="207" t="str">
        <f>IF(Introduction!$E$7=1,CONCATENATE("🌞 ➚ ",TEXT(S23,"hh:mm")," ","➘ ",TEXT(T23,"hh:mm")),CONCATENATE("☼ ➚ ",TEXT(S23,"hh:mm")," ","➘ ",TEXT(T23,"hh:mm")))</f>
        <v>🌞 ➚ 08:38 ➘ 17:23</v>
      </c>
      <c r="Y23" s="264">
        <v>13</v>
      </c>
      <c r="Z23" s="258" t="s">
        <v>490</v>
      </c>
      <c r="AA23" s="210" t="s">
        <v>444</v>
      </c>
      <c r="AB23" s="257" t="str">
        <f t="shared" si="18"/>
        <v>FR : Caen</v>
      </c>
      <c r="AC23" s="218">
        <v>49.183332999999998</v>
      </c>
      <c r="AD23" s="218">
        <v>-0.35</v>
      </c>
      <c r="AE23" s="218">
        <f t="shared" si="19"/>
        <v>0.35</v>
      </c>
      <c r="AF23" s="254">
        <v>1</v>
      </c>
      <c r="AG23" s="254">
        <f t="shared" si="20"/>
        <v>2</v>
      </c>
    </row>
    <row r="24" spans="6:33" s="206" customFormat="1" x14ac:dyDescent="0.2">
      <c r="F24" s="198">
        <f t="shared" si="11"/>
        <v>44213</v>
      </c>
      <c r="G24" s="199">
        <f t="shared" si="12"/>
        <v>17</v>
      </c>
      <c r="H24" s="200">
        <f t="shared" si="1"/>
        <v>13.755200000000002</v>
      </c>
      <c r="I24" s="200">
        <f t="shared" si="13"/>
        <v>0.46433771923867528</v>
      </c>
      <c r="J24" s="200">
        <f t="shared" si="2"/>
        <v>297.2195377192387</v>
      </c>
      <c r="K24" s="200">
        <f t="shared" si="14"/>
        <v>2.0562340917222119</v>
      </c>
      <c r="L24" s="201">
        <f t="shared" si="15"/>
        <v>10.082287243843549</v>
      </c>
      <c r="M24" s="202">
        <f t="shared" si="16"/>
        <v>0.42009530182681454</v>
      </c>
      <c r="N24" s="203">
        <f t="shared" si="17"/>
        <v>-20.716719927657319</v>
      </c>
      <c r="O24" s="200">
        <f t="shared" si="3"/>
        <v>65.842131047802113</v>
      </c>
      <c r="P24" s="200">
        <f t="shared" si="4"/>
        <v>4.3894754031868075</v>
      </c>
      <c r="Q24" s="200">
        <f t="shared" si="5"/>
        <v>7.6105245968131925</v>
      </c>
      <c r="R24" s="200">
        <f t="shared" si="6"/>
        <v>16.389475403186808</v>
      </c>
      <c r="S24" s="204">
        <f t="shared" si="7"/>
        <v>0.35902777777777778</v>
      </c>
      <c r="T24" s="204">
        <f t="shared" si="8"/>
        <v>0.72499999999999998</v>
      </c>
      <c r="U24" s="205" t="str">
        <f t="shared" si="10"/>
        <v>H</v>
      </c>
      <c r="V24" s="272">
        <f t="shared" si="9"/>
        <v>1</v>
      </c>
      <c r="W24" s="207" t="str">
        <f>IF(Introduction!$E$7=1,CONCATENATE("🌞 ➚ ",TEXT(S24,"hh:mm")," ","➘ ",TEXT(T24,"hh:mm")),CONCATENATE("☼ ➚ ",TEXT(S24,"hh:mm")," ","➘ ",TEXT(T24,"hh:mm")))</f>
        <v>🌞 ➚ 08:37 ➘ 17:24</v>
      </c>
      <c r="Y24" s="264">
        <v>14</v>
      </c>
      <c r="Z24" s="258" t="s">
        <v>490</v>
      </c>
      <c r="AA24" s="210" t="s">
        <v>446</v>
      </c>
      <c r="AB24" s="257" t="str">
        <f t="shared" si="18"/>
        <v>FR : Châlons-en-Champagne</v>
      </c>
      <c r="AC24" s="218">
        <v>48.958333000000003</v>
      </c>
      <c r="AD24" s="218">
        <v>4.3666669999999996</v>
      </c>
      <c r="AE24" s="220">
        <f t="shared" si="19"/>
        <v>-4.3666669999999996</v>
      </c>
      <c r="AF24" s="254">
        <v>1</v>
      </c>
      <c r="AG24" s="254">
        <f t="shared" si="20"/>
        <v>2</v>
      </c>
    </row>
    <row r="25" spans="6:33" s="206" customFormat="1" x14ac:dyDescent="0.2">
      <c r="F25" s="198">
        <f t="shared" si="11"/>
        <v>44214</v>
      </c>
      <c r="G25" s="199">
        <f t="shared" si="12"/>
        <v>18</v>
      </c>
      <c r="H25" s="200">
        <f t="shared" si="1"/>
        <v>14.740799999999979</v>
      </c>
      <c r="I25" s="200">
        <f t="shared" si="13"/>
        <v>0.4968537994331188</v>
      </c>
      <c r="J25" s="200">
        <f t="shared" si="2"/>
        <v>298.23765379943308</v>
      </c>
      <c r="K25" s="200">
        <f t="shared" si="14"/>
        <v>2.1045802602093246</v>
      </c>
      <c r="L25" s="201">
        <f t="shared" si="15"/>
        <v>10.405736238569773</v>
      </c>
      <c r="M25" s="202">
        <f t="shared" si="16"/>
        <v>0.43357234327374056</v>
      </c>
      <c r="N25" s="203">
        <f t="shared" si="17"/>
        <v>-20.5153860422751</v>
      </c>
      <c r="O25" s="200">
        <f t="shared" si="3"/>
        <v>66.128155136558817</v>
      </c>
      <c r="P25" s="200">
        <f t="shared" si="4"/>
        <v>4.4085436757705878</v>
      </c>
      <c r="Q25" s="200">
        <f t="shared" si="5"/>
        <v>7.5914563242294122</v>
      </c>
      <c r="R25" s="200">
        <f t="shared" si="6"/>
        <v>16.408543675770588</v>
      </c>
      <c r="S25" s="204">
        <f t="shared" si="7"/>
        <v>0.35833333333333334</v>
      </c>
      <c r="T25" s="204">
        <f t="shared" si="8"/>
        <v>0.72638888888888886</v>
      </c>
      <c r="U25" s="205" t="str">
        <f t="shared" si="10"/>
        <v>H</v>
      </c>
      <c r="V25" s="272">
        <f t="shared" si="9"/>
        <v>1</v>
      </c>
      <c r="W25" s="207" t="str">
        <f>IF(Introduction!$E$7=1,CONCATENATE("🌞 ➚ ",TEXT(S25,"hh:mm")," ","➘ ",TEXT(T25,"hh:mm")),CONCATENATE("☼ ➚ ",TEXT(S25,"hh:mm")," ","➘ ",TEXT(T25,"hh:mm")))</f>
        <v>🌞 ➚ 08:36 ➘ 17:26</v>
      </c>
      <c r="Y25" s="264">
        <v>15</v>
      </c>
      <c r="Z25" s="258" t="s">
        <v>490</v>
      </c>
      <c r="AA25" s="210" t="s">
        <v>456</v>
      </c>
      <c r="AB25" s="257" t="str">
        <f t="shared" si="18"/>
        <v>FR : Clermont-Ferrand</v>
      </c>
      <c r="AC25" s="218">
        <v>45.783332999999999</v>
      </c>
      <c r="AD25" s="218">
        <v>3.0833330000000001</v>
      </c>
      <c r="AE25" s="218">
        <f t="shared" si="19"/>
        <v>-3.0833330000000001</v>
      </c>
      <c r="AF25" s="254">
        <v>1</v>
      </c>
      <c r="AG25" s="254">
        <f t="shared" si="20"/>
        <v>2</v>
      </c>
    </row>
    <row r="26" spans="6:33" s="206" customFormat="1" x14ac:dyDescent="0.2">
      <c r="F26" s="198">
        <f t="shared" si="11"/>
        <v>44215</v>
      </c>
      <c r="G26" s="199">
        <f t="shared" si="12"/>
        <v>19</v>
      </c>
      <c r="H26" s="200">
        <f t="shared" si="1"/>
        <v>15.726400000000012</v>
      </c>
      <c r="I26" s="200">
        <f t="shared" si="13"/>
        <v>0.52921412376352228</v>
      </c>
      <c r="J26" s="200">
        <f t="shared" si="2"/>
        <v>299.25561412376351</v>
      </c>
      <c r="K26" s="200">
        <f t="shared" si="14"/>
        <v>2.1500770199868056</v>
      </c>
      <c r="L26" s="201">
        <f t="shared" si="15"/>
        <v>10.717164575001311</v>
      </c>
      <c r="M26" s="202">
        <f t="shared" si="16"/>
        <v>0.44654852395838796</v>
      </c>
      <c r="N26" s="203">
        <f t="shared" si="17"/>
        <v>-20.307588358560483</v>
      </c>
      <c r="O26" s="200">
        <f t="shared" si="3"/>
        <v>66.421934995647888</v>
      </c>
      <c r="P26" s="200">
        <f t="shared" si="4"/>
        <v>4.428128999709859</v>
      </c>
      <c r="Q26" s="200">
        <f t="shared" si="5"/>
        <v>7.571871000290141</v>
      </c>
      <c r="R26" s="200">
        <f t="shared" si="6"/>
        <v>16.428128999709859</v>
      </c>
      <c r="S26" s="204">
        <f t="shared" si="7"/>
        <v>0.35833333333333334</v>
      </c>
      <c r="T26" s="204">
        <f t="shared" si="8"/>
        <v>0.7270833333333333</v>
      </c>
      <c r="U26" s="205" t="str">
        <f t="shared" si="10"/>
        <v>H</v>
      </c>
      <c r="V26" s="272">
        <f t="shared" si="9"/>
        <v>1</v>
      </c>
      <c r="W26" s="207" t="str">
        <f>IF(Introduction!$E$7=1,CONCATENATE("🌞 ➚ ",TEXT(S26,"hh:mm")," ","➘ ",TEXT(T26,"hh:mm")),CONCATENATE("☼ ➚ ",TEXT(S26,"hh:mm")," ","➘ ",TEXT(T26,"hh:mm")))</f>
        <v>🌞 ➚ 08:36 ➘ 17:27</v>
      </c>
      <c r="Y26" s="264">
        <v>16</v>
      </c>
      <c r="Z26" s="258" t="s">
        <v>490</v>
      </c>
      <c r="AA26" s="210" t="s">
        <v>451</v>
      </c>
      <c r="AB26" s="257" t="str">
        <f t="shared" si="18"/>
        <v>FR : Dijon</v>
      </c>
      <c r="AC26" s="218">
        <v>47.316667000000002</v>
      </c>
      <c r="AD26" s="218">
        <v>5.016667</v>
      </c>
      <c r="AE26" s="218">
        <f t="shared" si="19"/>
        <v>-5.016667</v>
      </c>
      <c r="AF26" s="254">
        <v>1</v>
      </c>
      <c r="AG26" s="254">
        <f t="shared" si="20"/>
        <v>2</v>
      </c>
    </row>
    <row r="27" spans="6:33" s="206" customFormat="1" x14ac:dyDescent="0.2">
      <c r="F27" s="198">
        <f t="shared" si="11"/>
        <v>44216</v>
      </c>
      <c r="G27" s="199">
        <f t="shared" si="12"/>
        <v>20</v>
      </c>
      <c r="H27" s="200">
        <f t="shared" si="1"/>
        <v>16.711999999999989</v>
      </c>
      <c r="I27" s="200">
        <f t="shared" si="13"/>
        <v>0.56140859041049396</v>
      </c>
      <c r="J27" s="200">
        <f t="shared" si="2"/>
        <v>300.2734085904105</v>
      </c>
      <c r="K27" s="200">
        <f t="shared" si="14"/>
        <v>2.192673861259999</v>
      </c>
      <c r="L27" s="201">
        <f t="shared" si="15"/>
        <v>11.016329806681972</v>
      </c>
      <c r="M27" s="202">
        <f t="shared" si="16"/>
        <v>0.45901374194508215</v>
      </c>
      <c r="N27" s="203">
        <f t="shared" si="17"/>
        <v>-20.093420958800174</v>
      </c>
      <c r="O27" s="200">
        <f t="shared" si="3"/>
        <v>66.723232940185426</v>
      </c>
      <c r="P27" s="200">
        <f t="shared" si="4"/>
        <v>4.4482155293456946</v>
      </c>
      <c r="Q27" s="200">
        <f t="shared" si="5"/>
        <v>7.5517844706543054</v>
      </c>
      <c r="R27" s="200">
        <f t="shared" si="6"/>
        <v>16.448215529345696</v>
      </c>
      <c r="S27" s="204">
        <f t="shared" si="7"/>
        <v>0.3576388888888889</v>
      </c>
      <c r="T27" s="204">
        <f t="shared" si="8"/>
        <v>0.7284722222222223</v>
      </c>
      <c r="U27" s="205" t="str">
        <f t="shared" si="10"/>
        <v>H</v>
      </c>
      <c r="V27" s="272">
        <f t="shared" si="9"/>
        <v>1</v>
      </c>
      <c r="W27" s="207" t="str">
        <f>IF(Introduction!$E$7=1,CONCATENATE("🌞 ➚ ",TEXT(S27,"hh:mm")," ","➘ ",TEXT(T27,"hh:mm")),CONCATENATE("☼ ➚ ",TEXT(S27,"hh:mm")," ","➘ ",TEXT(T27,"hh:mm")))</f>
        <v>🌞 ➚ 08:35 ➘ 17:29</v>
      </c>
      <c r="Y27" s="264">
        <v>17</v>
      </c>
      <c r="Z27" s="258" t="s">
        <v>490</v>
      </c>
      <c r="AA27" s="210" t="s">
        <v>441</v>
      </c>
      <c r="AB27" s="257" t="str">
        <f t="shared" si="18"/>
        <v>FR : Lille</v>
      </c>
      <c r="AC27" s="218">
        <v>50.633333</v>
      </c>
      <c r="AD27" s="218">
        <v>3.0666669999999998</v>
      </c>
      <c r="AE27" s="218">
        <f t="shared" si="19"/>
        <v>-3.0666669999999998</v>
      </c>
      <c r="AF27" s="254">
        <v>1</v>
      </c>
      <c r="AG27" s="254">
        <f t="shared" si="20"/>
        <v>2</v>
      </c>
    </row>
    <row r="28" spans="6:33" s="206" customFormat="1" x14ac:dyDescent="0.2">
      <c r="F28" s="198">
        <f t="shared" si="11"/>
        <v>44217</v>
      </c>
      <c r="G28" s="199">
        <f t="shared" si="12"/>
        <v>21</v>
      </c>
      <c r="H28" s="200">
        <f t="shared" si="1"/>
        <v>17.697600000000023</v>
      </c>
      <c r="I28" s="200">
        <f t="shared" si="13"/>
        <v>0.59342715759494991</v>
      </c>
      <c r="J28" s="200">
        <f t="shared" si="2"/>
        <v>301.29102715759495</v>
      </c>
      <c r="K28" s="200">
        <f t="shared" si="14"/>
        <v>2.2323249925931123</v>
      </c>
      <c r="L28" s="201">
        <f t="shared" si="15"/>
        <v>11.30300860075225</v>
      </c>
      <c r="M28" s="202">
        <f t="shared" si="16"/>
        <v>0.47095869169801041</v>
      </c>
      <c r="N28" s="203">
        <f t="shared" si="17"/>
        <v>-19.872979969566259</v>
      </c>
      <c r="O28" s="200">
        <f t="shared" si="3"/>
        <v>67.031811702430687</v>
      </c>
      <c r="P28" s="200">
        <f t="shared" si="4"/>
        <v>4.4687874468287125</v>
      </c>
      <c r="Q28" s="200">
        <f t="shared" si="5"/>
        <v>7.5312125531712875</v>
      </c>
      <c r="R28" s="200">
        <f t="shared" si="6"/>
        <v>16.468787446828713</v>
      </c>
      <c r="S28" s="204">
        <f t="shared" si="7"/>
        <v>0.35694444444444445</v>
      </c>
      <c r="T28" s="204">
        <f t="shared" si="8"/>
        <v>0.72916666666666663</v>
      </c>
      <c r="U28" s="205" t="str">
        <f t="shared" si="10"/>
        <v>H</v>
      </c>
      <c r="V28" s="272">
        <f t="shared" si="9"/>
        <v>1</v>
      </c>
      <c r="W28" s="207" t="str">
        <f>IF(Introduction!$E$7=1,CONCATENATE("🌞 ➚ ",TEXT(S28,"hh:mm")," ","➘ ",TEXT(T28,"hh:mm")),CONCATENATE("☼ ➚ ",TEXT(S28,"hh:mm")," ","➘ ",TEXT(T28,"hh:mm")))</f>
        <v>🌞 ➚ 08:34 ➘ 17:30</v>
      </c>
      <c r="Y28" s="264">
        <v>18</v>
      </c>
      <c r="Z28" s="258" t="s">
        <v>490</v>
      </c>
      <c r="AA28" s="210" t="s">
        <v>455</v>
      </c>
      <c r="AB28" s="257" t="str">
        <f t="shared" si="18"/>
        <v>FR : Limoges</v>
      </c>
      <c r="AC28" s="218">
        <v>45.85</v>
      </c>
      <c r="AD28" s="218">
        <v>1.25</v>
      </c>
      <c r="AE28" s="218">
        <f t="shared" si="19"/>
        <v>-1.25</v>
      </c>
      <c r="AF28" s="254">
        <v>1</v>
      </c>
      <c r="AG28" s="254">
        <f t="shared" si="20"/>
        <v>2</v>
      </c>
    </row>
    <row r="29" spans="6:33" s="206" customFormat="1" x14ac:dyDescent="0.2">
      <c r="F29" s="198">
        <f t="shared" si="11"/>
        <v>44218</v>
      </c>
      <c r="G29" s="199">
        <f t="shared" si="12"/>
        <v>22</v>
      </c>
      <c r="H29" s="200">
        <f t="shared" si="1"/>
        <v>18.683199999999999</v>
      </c>
      <c r="I29" s="200">
        <f t="shared" si="13"/>
        <v>0.62525984715947758</v>
      </c>
      <c r="J29" s="200">
        <f t="shared" si="2"/>
        <v>302.3084598471595</v>
      </c>
      <c r="K29" s="200">
        <f t="shared" si="14"/>
        <v>2.2689893612525895</v>
      </c>
      <c r="L29" s="201">
        <f t="shared" si="15"/>
        <v>11.576996833648268</v>
      </c>
      <c r="M29" s="202">
        <f t="shared" si="16"/>
        <v>0.48237486806867785</v>
      </c>
      <c r="N29" s="203">
        <f t="shared" si="17"/>
        <v>-19.646363447850923</v>
      </c>
      <c r="O29" s="200">
        <f t="shared" si="3"/>
        <v>67.347434946211763</v>
      </c>
      <c r="P29" s="200">
        <f t="shared" si="4"/>
        <v>4.4898289964141176</v>
      </c>
      <c r="Q29" s="200">
        <f t="shared" si="5"/>
        <v>7.5101710035858824</v>
      </c>
      <c r="R29" s="200">
        <f t="shared" si="6"/>
        <v>16.489828996414118</v>
      </c>
      <c r="S29" s="204">
        <f t="shared" si="7"/>
        <v>0.35625000000000001</v>
      </c>
      <c r="T29" s="204">
        <f t="shared" si="8"/>
        <v>0.73055555555555562</v>
      </c>
      <c r="U29" s="205" t="str">
        <f t="shared" si="10"/>
        <v>H</v>
      </c>
      <c r="V29" s="272">
        <f t="shared" si="9"/>
        <v>1</v>
      </c>
      <c r="W29" s="207" t="str">
        <f>IF(Introduction!$E$7=1,CONCATENATE("🌞 ➚ ",TEXT(S29,"hh:mm")," ","➘ ",TEXT(T29,"hh:mm")),CONCATENATE("☼ ➚ ",TEXT(S29,"hh:mm")," ","➘ ",TEXT(T29,"hh:mm")))</f>
        <v>🌞 ➚ 08:33 ➘ 17:32</v>
      </c>
      <c r="Y29" s="264">
        <v>19</v>
      </c>
      <c r="Z29" s="255" t="s">
        <v>490</v>
      </c>
      <c r="AA29" s="210" t="s">
        <v>457</v>
      </c>
      <c r="AB29" s="257" t="str">
        <f t="shared" si="18"/>
        <v>FR : Lyon</v>
      </c>
      <c r="AC29" s="218">
        <v>45.764043000000001</v>
      </c>
      <c r="AD29" s="218">
        <v>4.8356589999999597</v>
      </c>
      <c r="AE29" s="220">
        <f t="shared" si="19"/>
        <v>-4.8356589999999597</v>
      </c>
      <c r="AF29" s="254">
        <v>1</v>
      </c>
      <c r="AG29" s="254">
        <f t="shared" si="20"/>
        <v>2</v>
      </c>
    </row>
    <row r="30" spans="6:33" s="206" customFormat="1" x14ac:dyDescent="0.2">
      <c r="F30" s="198">
        <f t="shared" si="11"/>
        <v>44219</v>
      </c>
      <c r="G30" s="199">
        <f t="shared" si="12"/>
        <v>23</v>
      </c>
      <c r="H30" s="200">
        <f t="shared" si="1"/>
        <v>19.668799999999976</v>
      </c>
      <c r="I30" s="200">
        <f t="shared" si="13"/>
        <v>0.65689674811720711</v>
      </c>
      <c r="J30" s="200">
        <f t="shared" si="2"/>
        <v>303.3256967481172</v>
      </c>
      <c r="K30" s="200">
        <f t="shared" si="14"/>
        <v>2.3026306623512012</v>
      </c>
      <c r="L30" s="201">
        <f t="shared" si="15"/>
        <v>11.838109641873633</v>
      </c>
      <c r="M30" s="202">
        <f t="shared" si="16"/>
        <v>0.49325456841140136</v>
      </c>
      <c r="N30" s="203">
        <f t="shared" si="17"/>
        <v>-19.413671268112633</v>
      </c>
      <c r="O30" s="200">
        <f t="shared" si="3"/>
        <v>67.66986775082691</v>
      </c>
      <c r="P30" s="200">
        <f t="shared" si="4"/>
        <v>4.5113245167217944</v>
      </c>
      <c r="Q30" s="200">
        <f t="shared" si="5"/>
        <v>7.4886754832782056</v>
      </c>
      <c r="R30" s="200">
        <f t="shared" si="6"/>
        <v>16.511324516721793</v>
      </c>
      <c r="S30" s="204">
        <f t="shared" si="7"/>
        <v>0.35555555555555557</v>
      </c>
      <c r="T30" s="204">
        <f t="shared" si="8"/>
        <v>0.73125000000000007</v>
      </c>
      <c r="U30" s="205" t="str">
        <f t="shared" si="10"/>
        <v>H</v>
      </c>
      <c r="V30" s="272">
        <f t="shared" si="9"/>
        <v>1</v>
      </c>
      <c r="W30" s="207" t="str">
        <f>IF(Introduction!$E$7=1,CONCATENATE("🌞 ➚ ",TEXT(S30,"hh:mm")," ","➘ ",TEXT(T30,"hh:mm")),CONCATENATE("☼ ➚ ",TEXT(S30,"hh:mm")," ","➘ ",TEXT(T30,"hh:mm")))</f>
        <v>🌞 ➚ 08:32 ➘ 17:33</v>
      </c>
      <c r="Y30" s="264">
        <v>20</v>
      </c>
      <c r="Z30" s="258" t="s">
        <v>490</v>
      </c>
      <c r="AA30" s="210" t="s">
        <v>461</v>
      </c>
      <c r="AB30" s="257" t="str">
        <f t="shared" si="18"/>
        <v>FR : Marseille</v>
      </c>
      <c r="AC30" s="218">
        <v>43.296481999999997</v>
      </c>
      <c r="AD30" s="218">
        <v>5.3697799999999898</v>
      </c>
      <c r="AE30" s="218">
        <f t="shared" si="19"/>
        <v>-5.3697799999999898</v>
      </c>
      <c r="AF30" s="254">
        <v>1</v>
      </c>
      <c r="AG30" s="254">
        <f t="shared" si="20"/>
        <v>2</v>
      </c>
    </row>
    <row r="31" spans="6:33" s="206" customFormat="1" x14ac:dyDescent="0.2">
      <c r="F31" s="198">
        <f t="shared" si="11"/>
        <v>44220</v>
      </c>
      <c r="G31" s="199">
        <f t="shared" si="12"/>
        <v>24</v>
      </c>
      <c r="H31" s="200">
        <f t="shared" si="1"/>
        <v>20.65440000000001</v>
      </c>
      <c r="I31" s="200">
        <f t="shared" si="13"/>
        <v>0.68832802016638517</v>
      </c>
      <c r="J31" s="200">
        <f t="shared" si="2"/>
        <v>304.34272802016642</v>
      </c>
      <c r="K31" s="200">
        <f t="shared" si="14"/>
        <v>2.3332173370153697</v>
      </c>
      <c r="L31" s="201">
        <f t="shared" si="15"/>
        <v>12.08618142872702</v>
      </c>
      <c r="M31" s="202">
        <f t="shared" si="16"/>
        <v>0.50359089286362579</v>
      </c>
      <c r="N31" s="203">
        <f t="shared" si="17"/>
        <v>-19.175005010516877</v>
      </c>
      <c r="O31" s="200">
        <f t="shared" si="3"/>
        <v>67.998877063735776</v>
      </c>
      <c r="P31" s="200">
        <f t="shared" si="4"/>
        <v>4.533258470915718</v>
      </c>
      <c r="Q31" s="200">
        <f t="shared" si="5"/>
        <v>7.466741529084282</v>
      </c>
      <c r="R31" s="200">
        <f t="shared" si="6"/>
        <v>16.533258470915719</v>
      </c>
      <c r="S31" s="204">
        <f t="shared" si="7"/>
        <v>0.35486111111111113</v>
      </c>
      <c r="T31" s="204">
        <f t="shared" si="8"/>
        <v>0.73263888888888884</v>
      </c>
      <c r="U31" s="205" t="str">
        <f t="shared" si="10"/>
        <v>H</v>
      </c>
      <c r="V31" s="272">
        <f t="shared" si="9"/>
        <v>1</v>
      </c>
      <c r="W31" s="207" t="str">
        <f>IF(Introduction!$E$7=1,CONCATENATE("🌞 ➚ ",TEXT(S31,"hh:mm")," ","➘ ",TEXT(T31,"hh:mm")),CONCATENATE("☼ ➚ ",TEXT(S31,"hh:mm")," ","➘ ",TEXT(T31,"hh:mm")))</f>
        <v>🌞 ➚ 08:31 ➘ 17:35</v>
      </c>
      <c r="Y31" s="264">
        <v>21</v>
      </c>
      <c r="Z31" s="258" t="s">
        <v>490</v>
      </c>
      <c r="AA31" s="210" t="s">
        <v>445</v>
      </c>
      <c r="AB31" s="257" t="str">
        <f t="shared" si="18"/>
        <v>FR : Metz</v>
      </c>
      <c r="AC31" s="218">
        <v>49.1193089</v>
      </c>
      <c r="AD31" s="218">
        <v>6.1757155999999798</v>
      </c>
      <c r="AE31" s="218">
        <f t="shared" si="19"/>
        <v>-6.1757155999999798</v>
      </c>
      <c r="AF31" s="254">
        <v>1</v>
      </c>
      <c r="AG31" s="254">
        <f t="shared" si="20"/>
        <v>2</v>
      </c>
    </row>
    <row r="32" spans="6:33" s="206" customFormat="1" x14ac:dyDescent="0.2">
      <c r="F32" s="198">
        <f t="shared" si="11"/>
        <v>44221</v>
      </c>
      <c r="G32" s="199">
        <f t="shared" si="12"/>
        <v>25</v>
      </c>
      <c r="H32" s="200">
        <f t="shared" si="1"/>
        <v>21.639999999999986</v>
      </c>
      <c r="I32" s="200">
        <f t="shared" si="13"/>
        <v>0.71954389716894052</v>
      </c>
      <c r="J32" s="200">
        <f t="shared" si="2"/>
        <v>305.35954389716892</v>
      </c>
      <c r="K32" s="200">
        <f t="shared" si="14"/>
        <v>2.3607225598372361</v>
      </c>
      <c r="L32" s="201">
        <f t="shared" si="15"/>
        <v>12.321065828024707</v>
      </c>
      <c r="M32" s="202">
        <f t="shared" si="16"/>
        <v>0.51337774283436277</v>
      </c>
      <c r="N32" s="203">
        <f t="shared" si="17"/>
        <v>-18.930467850637786</v>
      </c>
      <c r="O32" s="200">
        <f t="shared" si="3"/>
        <v>68.334232121628006</v>
      </c>
      <c r="P32" s="200">
        <f t="shared" si="4"/>
        <v>4.5556154747752</v>
      </c>
      <c r="Q32" s="200">
        <f t="shared" si="5"/>
        <v>7.4443845252248</v>
      </c>
      <c r="R32" s="200">
        <f t="shared" si="6"/>
        <v>16.555615474775202</v>
      </c>
      <c r="S32" s="204">
        <f t="shared" si="7"/>
        <v>0.35416666666666669</v>
      </c>
      <c r="T32" s="204">
        <f t="shared" si="8"/>
        <v>0.73333333333333339</v>
      </c>
      <c r="U32" s="205" t="str">
        <f t="shared" si="10"/>
        <v>H</v>
      </c>
      <c r="V32" s="272">
        <f t="shared" si="9"/>
        <v>1</v>
      </c>
      <c r="W32" s="207" t="str">
        <f>IF(Introduction!$E$7=1,CONCATENATE("🌞 ➚ ",TEXT(S32,"hh:mm")," ","➘ ",TEXT(T32,"hh:mm")),CONCATENATE("☼ ➚ ",TEXT(S32,"hh:mm")," ","➘ ",TEXT(T32,"hh:mm")))</f>
        <v>🌞 ➚ 08:30 ➘ 17:36</v>
      </c>
      <c r="Y32" s="264">
        <v>22</v>
      </c>
      <c r="Z32" s="258" t="s">
        <v>490</v>
      </c>
      <c r="AA32" s="210" t="s">
        <v>463</v>
      </c>
      <c r="AB32" s="257" t="str">
        <f t="shared" si="18"/>
        <v>FR : Meudon</v>
      </c>
      <c r="AC32" s="219">
        <v>48.807212107096497</v>
      </c>
      <c r="AD32" s="220">
        <v>2.23847</v>
      </c>
      <c r="AE32" s="218">
        <f t="shared" si="19"/>
        <v>-2.23847</v>
      </c>
      <c r="AF32" s="254">
        <v>1</v>
      </c>
      <c r="AG32" s="254">
        <f t="shared" si="20"/>
        <v>2</v>
      </c>
    </row>
    <row r="33" spans="6:33" s="206" customFormat="1" x14ac:dyDescent="0.2">
      <c r="F33" s="198">
        <f t="shared" si="11"/>
        <v>44222</v>
      </c>
      <c r="G33" s="199">
        <f t="shared" si="12"/>
        <v>26</v>
      </c>
      <c r="H33" s="200">
        <f t="shared" si="1"/>
        <v>22.62560000000002</v>
      </c>
      <c r="I33" s="200">
        <f>1.914*SIN(PI()/180*$H33)+0.02*SIN(PI()/180*2*$H33)</f>
        <v>0.7505346905913628</v>
      </c>
      <c r="J33" s="200">
        <f t="shared" si="2"/>
        <v>306.37613469059136</v>
      </c>
      <c r="K33" s="200">
        <f>-2.466*SIN(PI()/180*2*$J33)+0.053*SIN(PI()/180*4*$J33)</f>
        <v>2.3851242159102788</v>
      </c>
      <c r="L33" s="201">
        <f>($I33+$K33)*4</f>
        <v>12.542635626006566</v>
      </c>
      <c r="M33" s="202">
        <f>ABS($L33)/24</f>
        <v>0.5226098177502736</v>
      </c>
      <c r="N33" s="203">
        <f>ASIN(0.3978*SIN(PI()/180*$J33))*180/PI()</f>
        <v>-18.680164450868656</v>
      </c>
      <c r="O33" s="200">
        <f t="shared" si="3"/>
        <v>68.675704839712665</v>
      </c>
      <c r="P33" s="200">
        <f t="shared" si="4"/>
        <v>4.5783803226475106</v>
      </c>
      <c r="Q33" s="200">
        <f t="shared" si="5"/>
        <v>7.4216196773524894</v>
      </c>
      <c r="R33" s="200">
        <f t="shared" si="6"/>
        <v>16.578380322647511</v>
      </c>
      <c r="S33" s="204">
        <f t="shared" si="7"/>
        <v>0.3527777777777778</v>
      </c>
      <c r="T33" s="204">
        <f t="shared" si="8"/>
        <v>0.73472222222222217</v>
      </c>
      <c r="U33" s="205" t="str">
        <f t="shared" si="10"/>
        <v>H</v>
      </c>
      <c r="V33" s="272">
        <f t="shared" si="9"/>
        <v>1</v>
      </c>
      <c r="W33" s="207" t="str">
        <f>IF(Introduction!$E$7=1,CONCATENATE("🌞 ➚ ",TEXT(S33,"hh:mm")," ","➘ ",TEXT(T33,"hh:mm")),CONCATENATE("☼ ➚ ",TEXT(S33,"hh:mm")," ","➘ ",TEXT(T33,"hh:mm")))</f>
        <v>🌞 ➚ 08:28 ➘ 17:38</v>
      </c>
      <c r="Y33" s="264">
        <v>23</v>
      </c>
      <c r="Z33" s="258" t="s">
        <v>490</v>
      </c>
      <c r="AA33" s="210" t="s">
        <v>459</v>
      </c>
      <c r="AB33" s="257" t="str">
        <f t="shared" si="18"/>
        <v>FR : Montpellier</v>
      </c>
      <c r="AC33" s="218">
        <v>43.610768999999998</v>
      </c>
      <c r="AD33" s="218">
        <v>3.8767159999999801</v>
      </c>
      <c r="AE33" s="218">
        <f t="shared" si="19"/>
        <v>-3.8767159999999801</v>
      </c>
      <c r="AF33" s="254">
        <v>1</v>
      </c>
      <c r="AG33" s="254">
        <f t="shared" si="20"/>
        <v>2</v>
      </c>
    </row>
    <row r="34" spans="6:33" s="206" customFormat="1" x14ac:dyDescent="0.2">
      <c r="F34" s="198">
        <f t="shared" si="11"/>
        <v>44223</v>
      </c>
      <c r="G34" s="199">
        <f t="shared" si="12"/>
        <v>27</v>
      </c>
      <c r="H34" s="200">
        <f t="shared" si="1"/>
        <v>23.611199999999997</v>
      </c>
      <c r="I34" s="200">
        <f t="shared" si="13"/>
        <v>0.78129079290617498</v>
      </c>
      <c r="J34" s="200">
        <f t="shared" si="2"/>
        <v>307.39249079290619</v>
      </c>
      <c r="K34" s="200">
        <f t="shared" si="14"/>
        <v>2.4064048677823022</v>
      </c>
      <c r="L34" s="201">
        <f t="shared" si="15"/>
        <v>12.750782642753908</v>
      </c>
      <c r="M34" s="202">
        <f t="shared" si="16"/>
        <v>0.5312826101147462</v>
      </c>
      <c r="N34" s="203">
        <f t="shared" si="17"/>
        <v>-18.424200853772557</v>
      </c>
      <c r="O34" s="200">
        <f t="shared" si="3"/>
        <v>69.02307016930331</v>
      </c>
      <c r="P34" s="200">
        <f t="shared" si="4"/>
        <v>4.6015380112868876</v>
      </c>
      <c r="Q34" s="200">
        <f t="shared" si="5"/>
        <v>7.3984619887131124</v>
      </c>
      <c r="R34" s="200">
        <f t="shared" si="6"/>
        <v>16.601538011286888</v>
      </c>
      <c r="S34" s="204">
        <f t="shared" si="7"/>
        <v>0.3520833333333333</v>
      </c>
      <c r="T34" s="204">
        <f t="shared" si="8"/>
        <v>0.73541666666666661</v>
      </c>
      <c r="U34" s="205" t="str">
        <f t="shared" si="10"/>
        <v>H</v>
      </c>
      <c r="V34" s="272">
        <f t="shared" si="9"/>
        <v>1</v>
      </c>
      <c r="W34" s="207" t="str">
        <f>IF(Introduction!$E$7=1,CONCATENATE("🌞 ➚ ",TEXT(S34,"hh:mm")," ","➘ ",TEXT(T34,"hh:mm")),CONCATENATE("☼ ➚ ",TEXT(S34,"hh:mm")," ","➘ ",TEXT(T34,"hh:mm")))</f>
        <v>🌞 ➚ 08:27 ➘ 17:39</v>
      </c>
      <c r="Y34" s="264">
        <v>24</v>
      </c>
      <c r="Z34" s="258" t="s">
        <v>490</v>
      </c>
      <c r="AA34" s="210" t="s">
        <v>453</v>
      </c>
      <c r="AB34" s="257" t="str">
        <f t="shared" si="18"/>
        <v>FR : Nantes</v>
      </c>
      <c r="AC34" s="218">
        <v>47.218370999999998</v>
      </c>
      <c r="AD34" s="218">
        <v>-1.5536210000000199</v>
      </c>
      <c r="AE34" s="218">
        <f t="shared" si="19"/>
        <v>1.5536210000000199</v>
      </c>
      <c r="AF34" s="254">
        <v>1</v>
      </c>
      <c r="AG34" s="254">
        <f t="shared" si="20"/>
        <v>2</v>
      </c>
    </row>
    <row r="35" spans="6:33" s="206" customFormat="1" x14ac:dyDescent="0.2">
      <c r="F35" s="198">
        <f t="shared" si="11"/>
        <v>44224</v>
      </c>
      <c r="G35" s="199">
        <f t="shared" si="12"/>
        <v>28</v>
      </c>
      <c r="H35" s="200">
        <f t="shared" si="1"/>
        <v>24.59680000000003</v>
      </c>
      <c r="I35" s="200">
        <f t="shared" si="13"/>
        <v>0.8118026809524187</v>
      </c>
      <c r="J35" s="200">
        <f t="shared" si="2"/>
        <v>308.40860268095241</v>
      </c>
      <c r="K35" s="200">
        <f t="shared" si="14"/>
        <v>2.4245517126926699</v>
      </c>
      <c r="L35" s="201">
        <f t="shared" si="15"/>
        <v>12.945417574580354</v>
      </c>
      <c r="M35" s="202">
        <f t="shared" si="16"/>
        <v>0.53939239894084812</v>
      </c>
      <c r="N35" s="203">
        <f t="shared" si="17"/>
        <v>-18.162684377584633</v>
      </c>
      <c r="O35" s="200">
        <f t="shared" si="3"/>
        <v>69.376106423986968</v>
      </c>
      <c r="P35" s="200">
        <f t="shared" si="4"/>
        <v>4.6250737615991309</v>
      </c>
      <c r="Q35" s="200">
        <f t="shared" si="5"/>
        <v>7.3749262384008691</v>
      </c>
      <c r="R35" s="200">
        <f t="shared" si="6"/>
        <v>16.625073761599133</v>
      </c>
      <c r="S35" s="204">
        <f t="shared" si="7"/>
        <v>0.35138888888888892</v>
      </c>
      <c r="T35" s="204">
        <f t="shared" si="8"/>
        <v>0.7368055555555556</v>
      </c>
      <c r="U35" s="205" t="str">
        <f t="shared" si="10"/>
        <v>H</v>
      </c>
      <c r="V35" s="272">
        <f t="shared" si="9"/>
        <v>1</v>
      </c>
      <c r="W35" s="207" t="str">
        <f>IF(Introduction!$E$7=1,CONCATENATE("🌞 ➚ ",TEXT(S35,"hh:mm")," ","➘ ",TEXT(T35,"hh:mm")),CONCATENATE("☼ ➚ ",TEXT(S35,"hh:mm")," ","➘ ",TEXT(T35,"hh:mm")))</f>
        <v>🌞 ➚ 08:26 ➘ 17:41</v>
      </c>
      <c r="Y35" s="264">
        <v>25</v>
      </c>
      <c r="Z35" s="258" t="s">
        <v>490</v>
      </c>
      <c r="AA35" s="210" t="s">
        <v>450</v>
      </c>
      <c r="AB35" s="257" t="str">
        <f t="shared" si="18"/>
        <v>FR : Orléans</v>
      </c>
      <c r="AC35" s="218">
        <v>47.902963999999997</v>
      </c>
      <c r="AD35" s="218">
        <v>1.90925100000004</v>
      </c>
      <c r="AE35" s="218">
        <f t="shared" si="19"/>
        <v>-1.90925100000004</v>
      </c>
      <c r="AF35" s="254">
        <v>1</v>
      </c>
      <c r="AG35" s="254">
        <f t="shared" si="20"/>
        <v>2</v>
      </c>
    </row>
    <row r="36" spans="6:33" s="206" customFormat="1" x14ac:dyDescent="0.2">
      <c r="F36" s="198">
        <f t="shared" si="11"/>
        <v>44225</v>
      </c>
      <c r="G36" s="199">
        <f t="shared" si="12"/>
        <v>29</v>
      </c>
      <c r="H36" s="200">
        <f t="shared" si="1"/>
        <v>25.582400000000007</v>
      </c>
      <c r="I36" s="200">
        <f t="shared" si="13"/>
        <v>0.84206091925348725</v>
      </c>
      <c r="J36" s="200">
        <f t="shared" si="2"/>
        <v>309.42446091925348</v>
      </c>
      <c r="K36" s="200">
        <f t="shared" si="14"/>
        <v>2.4395565304911258</v>
      </c>
      <c r="L36" s="201">
        <f t="shared" si="15"/>
        <v>13.126469798978452</v>
      </c>
      <c r="M36" s="202">
        <f t="shared" si="16"/>
        <v>0.54693624162410215</v>
      </c>
      <c r="N36" s="203">
        <f t="shared" si="17"/>
        <v>-17.895723514059934</v>
      </c>
      <c r="O36" s="200">
        <f t="shared" si="3"/>
        <v>69.73459557485387</v>
      </c>
      <c r="P36" s="200">
        <f t="shared" si="4"/>
        <v>4.6489730383235912</v>
      </c>
      <c r="Q36" s="200">
        <f t="shared" si="5"/>
        <v>7.3510269616764088</v>
      </c>
      <c r="R36" s="200">
        <f t="shared" si="6"/>
        <v>16.648973038323589</v>
      </c>
      <c r="S36" s="204">
        <f t="shared" si="7"/>
        <v>0.35069444444444442</v>
      </c>
      <c r="T36" s="204">
        <f t="shared" si="8"/>
        <v>0.73819444444444438</v>
      </c>
      <c r="U36" s="205" t="str">
        <f t="shared" si="10"/>
        <v>H</v>
      </c>
      <c r="V36" s="272">
        <f t="shared" si="9"/>
        <v>1</v>
      </c>
      <c r="W36" s="207" t="str">
        <f>IF(Introduction!$E$7=1,CONCATENATE("🌞 ➚ ",TEXT(S36,"hh:mm")," ","➘ ",TEXT(T36,"hh:mm")),CONCATENATE("☼ ➚ ",TEXT(S36,"hh:mm")," ","➘ ",TEXT(T36,"hh:mm")))</f>
        <v>🌞 ➚ 08:25 ➘ 17:43</v>
      </c>
      <c r="Y36" s="264">
        <v>26</v>
      </c>
      <c r="Z36" s="258" t="s">
        <v>490</v>
      </c>
      <c r="AA36" s="210" t="s">
        <v>447</v>
      </c>
      <c r="AB36" s="257" t="str">
        <f t="shared" si="18"/>
        <v>FR : Paris</v>
      </c>
      <c r="AC36" s="218">
        <v>48.856614</v>
      </c>
      <c r="AD36" s="218">
        <v>2.3522219000000102</v>
      </c>
      <c r="AE36" s="218">
        <f t="shared" si="19"/>
        <v>-2.3522219000000102</v>
      </c>
      <c r="AF36" s="254">
        <v>1</v>
      </c>
      <c r="AG36" s="254">
        <f t="shared" si="20"/>
        <v>2</v>
      </c>
    </row>
    <row r="37" spans="6:33" s="206" customFormat="1" x14ac:dyDescent="0.2">
      <c r="F37" s="198">
        <f t="shared" si="11"/>
        <v>44226</v>
      </c>
      <c r="G37" s="199">
        <f t="shared" si="12"/>
        <v>30</v>
      </c>
      <c r="H37" s="200">
        <f t="shared" si="1"/>
        <v>26.567999999999984</v>
      </c>
      <c r="I37" s="200">
        <f t="shared" si="13"/>
        <v>0.87205616329078739</v>
      </c>
      <c r="J37" s="200">
        <f t="shared" si="2"/>
        <v>310.44005616329076</v>
      </c>
      <c r="K37" s="200">
        <f t="shared" si="14"/>
        <v>2.4514156226636121</v>
      </c>
      <c r="L37" s="201">
        <f t="shared" si="15"/>
        <v>13.293887143817598</v>
      </c>
      <c r="M37" s="202">
        <f t="shared" si="16"/>
        <v>0.5539119643257332</v>
      </c>
      <c r="N37" s="203">
        <f t="shared" si="17"/>
        <v>-17.623427828842797</v>
      </c>
      <c r="O37" s="200">
        <f t="shared" si="3"/>
        <v>70.098323515431105</v>
      </c>
      <c r="P37" s="200">
        <f t="shared" si="4"/>
        <v>4.673221567695407</v>
      </c>
      <c r="Q37" s="200">
        <f t="shared" si="5"/>
        <v>7.326778432304593</v>
      </c>
      <c r="R37" s="200">
        <f t="shared" si="6"/>
        <v>16.673221567695407</v>
      </c>
      <c r="S37" s="204">
        <f t="shared" si="7"/>
        <v>0.34930555555555554</v>
      </c>
      <c r="T37" s="204">
        <f t="shared" si="8"/>
        <v>0.73888888888888893</v>
      </c>
      <c r="U37" s="205" t="str">
        <f t="shared" si="10"/>
        <v>H</v>
      </c>
      <c r="V37" s="272">
        <f t="shared" si="9"/>
        <v>1</v>
      </c>
      <c r="W37" s="207" t="str">
        <f>IF(Introduction!$E$7=1,CONCATENATE("🌞 ➚ ",TEXT(S37,"hh:mm")," ","➘ ",TEXT(T37,"hh:mm")),CONCATENATE("☼ ➚ ",TEXT(S37,"hh:mm")," ","➘ ",TEXT(T37,"hh:mm")))</f>
        <v>🌞 ➚ 08:23 ➘ 17:44</v>
      </c>
      <c r="Y37" s="264">
        <v>27</v>
      </c>
      <c r="Z37" s="258" t="s">
        <v>490</v>
      </c>
      <c r="AA37" s="210" t="s">
        <v>464</v>
      </c>
      <c r="AB37" s="257" t="str">
        <f t="shared" si="18"/>
        <v>FR : Périgueux</v>
      </c>
      <c r="AC37" s="219">
        <v>45.183332999999998</v>
      </c>
      <c r="AD37" s="220">
        <v>0.71666700000000005</v>
      </c>
      <c r="AE37" s="218">
        <f t="shared" si="19"/>
        <v>-0.71666700000000005</v>
      </c>
      <c r="AF37" s="254">
        <v>1</v>
      </c>
      <c r="AG37" s="254">
        <f t="shared" si="20"/>
        <v>2</v>
      </c>
    </row>
    <row r="38" spans="6:33" s="206" customFormat="1" x14ac:dyDescent="0.2">
      <c r="F38" s="198">
        <f t="shared" si="11"/>
        <v>44227</v>
      </c>
      <c r="G38" s="199">
        <f t="shared" si="12"/>
        <v>31</v>
      </c>
      <c r="H38" s="200">
        <f t="shared" si="1"/>
        <v>27.553600000000017</v>
      </c>
      <c r="I38" s="200">
        <f t="shared" si="13"/>
        <v>0.90177916273164926</v>
      </c>
      <c r="J38" s="200">
        <f t="shared" si="2"/>
        <v>311.45537916273167</v>
      </c>
      <c r="K38" s="200">
        <f t="shared" si="14"/>
        <v>2.4601297429160143</v>
      </c>
      <c r="L38" s="201">
        <f t="shared" si="15"/>
        <v>13.447635622590655</v>
      </c>
      <c r="M38" s="202">
        <f t="shared" si="16"/>
        <v>0.56031815094127724</v>
      </c>
      <c r="N38" s="203">
        <f t="shared" si="17"/>
        <v>-17.345907864514416</v>
      </c>
      <c r="O38" s="200">
        <f t="shared" si="3"/>
        <v>70.467080297111153</v>
      </c>
      <c r="P38" s="200">
        <f t="shared" si="4"/>
        <v>4.6978053531407431</v>
      </c>
      <c r="Q38" s="200">
        <f t="shared" si="5"/>
        <v>7.3021946468592569</v>
      </c>
      <c r="R38" s="200">
        <f t="shared" si="6"/>
        <v>16.697805353140744</v>
      </c>
      <c r="S38" s="204">
        <f t="shared" si="7"/>
        <v>0.34861111111111115</v>
      </c>
      <c r="T38" s="204">
        <f t="shared" si="8"/>
        <v>0.7402777777777777</v>
      </c>
      <c r="U38" s="205" t="str">
        <f t="shared" si="10"/>
        <v>H</v>
      </c>
      <c r="V38" s="272">
        <f t="shared" si="9"/>
        <v>1</v>
      </c>
      <c r="W38" s="207" t="str">
        <f>IF(Introduction!$E$7=1,CONCATENATE("🌞 ➚ ",TEXT(S38,"hh:mm")," ","➘ ",TEXT(T38,"hh:mm")),CONCATENATE("☼ ➚ ",TEXT(S38,"hh:mm")," ","➘ ",TEXT(T38,"hh:mm")))</f>
        <v>🌞 ➚ 08:22 ➘ 17:46</v>
      </c>
      <c r="Y38" s="264">
        <v>28</v>
      </c>
      <c r="Z38" s="258" t="s">
        <v>490</v>
      </c>
      <c r="AA38" s="210" t="s">
        <v>454</v>
      </c>
      <c r="AB38" s="257" t="str">
        <f t="shared" si="18"/>
        <v>FR : Poitiers</v>
      </c>
      <c r="AC38" s="218">
        <v>46.580224000000001</v>
      </c>
      <c r="AD38" s="218">
        <v>0.34037499999999399</v>
      </c>
      <c r="AE38" s="218">
        <f t="shared" si="19"/>
        <v>-0.34037499999999399</v>
      </c>
      <c r="AF38" s="254">
        <v>1</v>
      </c>
      <c r="AG38" s="254">
        <f t="shared" si="20"/>
        <v>2</v>
      </c>
    </row>
    <row r="39" spans="6:33" x14ac:dyDescent="0.2">
      <c r="F39" s="198">
        <f t="shared" si="11"/>
        <v>44228</v>
      </c>
      <c r="G39" s="199">
        <f t="shared" si="12"/>
        <v>32</v>
      </c>
      <c r="H39" s="200">
        <f t="shared" si="1"/>
        <v>28.539199999999994</v>
      </c>
      <c r="I39" s="200">
        <f t="shared" si="13"/>
        <v>0.93122076460999503</v>
      </c>
      <c r="J39" s="200">
        <f t="shared" si="2"/>
        <v>312.47042076460997</v>
      </c>
      <c r="K39" s="200">
        <f t="shared" si="14"/>
        <v>2.4657040197894613</v>
      </c>
      <c r="L39" s="201">
        <f t="shared" si="15"/>
        <v>13.587699137597825</v>
      </c>
      <c r="M39" s="202">
        <f t="shared" si="16"/>
        <v>0.56615413073324272</v>
      </c>
      <c r="N39" s="203">
        <f t="shared" si="17"/>
        <v>-17.063275046458546</v>
      </c>
      <c r="O39" s="200">
        <f t="shared" si="3"/>
        <v>70.840660335989398</v>
      </c>
      <c r="P39" s="200">
        <f t="shared" si="4"/>
        <v>4.72271068906596</v>
      </c>
      <c r="Q39" s="200">
        <f t="shared" si="5"/>
        <v>7.27728931093404</v>
      </c>
      <c r="R39" s="200">
        <f t="shared" si="6"/>
        <v>16.722710689065959</v>
      </c>
      <c r="S39" s="204">
        <f t="shared" si="7"/>
        <v>0.34791666666666665</v>
      </c>
      <c r="T39" s="204">
        <f t="shared" si="8"/>
        <v>0.7416666666666667</v>
      </c>
      <c r="U39" s="205" t="str">
        <f t="shared" si="10"/>
        <v>H</v>
      </c>
      <c r="V39" s="272">
        <f t="shared" si="9"/>
        <v>1</v>
      </c>
      <c r="W39" s="207" t="str">
        <f>IF(Introduction!$E$7=1,CONCATENATE("🌞 ➚ ",TEXT(S39,"hh:mm")," ","➘ ",TEXT(T39,"hh:mm")),CONCATENATE("☼ ➚ ",TEXT(S39,"hh:mm")," ","➘ ",TEXT(T39,"hh:mm")))</f>
        <v>🌞 ➚ 08:21 ➘ 17:48</v>
      </c>
      <c r="Y39" s="264">
        <v>29</v>
      </c>
      <c r="Z39" s="258" t="s">
        <v>490</v>
      </c>
      <c r="AA39" s="210" t="s">
        <v>449</v>
      </c>
      <c r="AB39" s="257" t="str">
        <f t="shared" si="18"/>
        <v>FR : Rennes</v>
      </c>
      <c r="AC39" s="218">
        <v>48.117266000000001</v>
      </c>
      <c r="AD39" s="218">
        <v>-1.6777925999999701</v>
      </c>
      <c r="AE39" s="218">
        <f t="shared" si="19"/>
        <v>1.6777925999999701</v>
      </c>
      <c r="AF39" s="254">
        <v>1</v>
      </c>
      <c r="AG39" s="254">
        <f t="shared" si="20"/>
        <v>2</v>
      </c>
    </row>
    <row r="40" spans="6:33" x14ac:dyDescent="0.2">
      <c r="F40" s="198">
        <f t="shared" si="11"/>
        <v>44229</v>
      </c>
      <c r="G40" s="199">
        <f t="shared" si="12"/>
        <v>33</v>
      </c>
      <c r="H40" s="200">
        <f t="shared" si="1"/>
        <v>29.524800000000027</v>
      </c>
      <c r="I40" s="200">
        <f t="shared" si="13"/>
        <v>0.96037191645832232</v>
      </c>
      <c r="J40" s="200">
        <f t="shared" si="2"/>
        <v>313.48517191645828</v>
      </c>
      <c r="K40" s="200">
        <f t="shared" si="14"/>
        <v>2.4681478718008161</v>
      </c>
      <c r="L40" s="201">
        <f t="shared" si="15"/>
        <v>13.714079153036554</v>
      </c>
      <c r="M40" s="202">
        <f t="shared" si="16"/>
        <v>0.57141996470985645</v>
      </c>
      <c r="N40" s="203">
        <f t="shared" si="17"/>
        <v>-16.775641591666691</v>
      </c>
      <c r="O40" s="200">
        <f t="shared" si="3"/>
        <v>71.218862592130179</v>
      </c>
      <c r="P40" s="200">
        <f t="shared" si="4"/>
        <v>4.7479241728086787</v>
      </c>
      <c r="Q40" s="200">
        <f t="shared" si="5"/>
        <v>7.2520758271913213</v>
      </c>
      <c r="R40" s="200">
        <f t="shared" si="6"/>
        <v>16.747924172808681</v>
      </c>
      <c r="S40" s="204">
        <f t="shared" si="7"/>
        <v>0.34652777777777777</v>
      </c>
      <c r="T40" s="204">
        <f t="shared" si="8"/>
        <v>0.74236111111111114</v>
      </c>
      <c r="U40" s="205" t="str">
        <f t="shared" si="10"/>
        <v>H</v>
      </c>
      <c r="V40" s="272">
        <f t="shared" si="9"/>
        <v>1</v>
      </c>
      <c r="W40" s="207" t="str">
        <f>IF(Introduction!$E$7=1,CONCATENATE("🌞 ➚ ",TEXT(S40,"hh:mm")," ","➘ ",TEXT(T40,"hh:mm")),CONCATENATE("☼ ➚ ",TEXT(S40,"hh:mm")," ","➘ ",TEXT(T40,"hh:mm")))</f>
        <v>🌞 ➚ 08:19 ➘ 17:49</v>
      </c>
      <c r="Y40" s="264">
        <v>30</v>
      </c>
      <c r="Z40" s="258" t="s">
        <v>490</v>
      </c>
      <c r="AA40" s="210" t="s">
        <v>443</v>
      </c>
      <c r="AB40" s="257" t="str">
        <f t="shared" si="18"/>
        <v>FR : Rouen</v>
      </c>
      <c r="AC40" s="218">
        <v>49.443231999999902</v>
      </c>
      <c r="AD40" s="218">
        <v>1.09997099999998</v>
      </c>
      <c r="AE40" s="218">
        <f t="shared" si="19"/>
        <v>-1.09997099999998</v>
      </c>
      <c r="AF40" s="254">
        <v>1</v>
      </c>
      <c r="AG40" s="254">
        <f t="shared" si="20"/>
        <v>2</v>
      </c>
    </row>
    <row r="41" spans="6:33" x14ac:dyDescent="0.2">
      <c r="F41" s="198">
        <f t="shared" si="11"/>
        <v>44230</v>
      </c>
      <c r="G41" s="199">
        <f t="shared" si="12"/>
        <v>34</v>
      </c>
      <c r="H41" s="200">
        <f t="shared" si="1"/>
        <v>30.510400000000004</v>
      </c>
      <c r="I41" s="200">
        <f t="shared" si="13"/>
        <v>0.98922366938952766</v>
      </c>
      <c r="J41" s="200">
        <f t="shared" si="2"/>
        <v>314.49962366938951</v>
      </c>
      <c r="K41" s="200">
        <f t="shared" si="14"/>
        <v>2.4674749156191225</v>
      </c>
      <c r="L41" s="201">
        <f t="shared" si="15"/>
        <v>13.826794340034601</v>
      </c>
      <c r="M41" s="202">
        <f t="shared" si="16"/>
        <v>0.57611643083477504</v>
      </c>
      <c r="N41" s="203">
        <f t="shared" si="17"/>
        <v>-16.483120420588236</v>
      </c>
      <c r="O41" s="200">
        <f t="shared" si="3"/>
        <v>71.601490722365995</v>
      </c>
      <c r="P41" s="200">
        <f t="shared" si="4"/>
        <v>4.7734327148243993</v>
      </c>
      <c r="Q41" s="200">
        <f t="shared" si="5"/>
        <v>7.2265672851756007</v>
      </c>
      <c r="R41" s="200">
        <f t="shared" si="6"/>
        <v>16.773432714824398</v>
      </c>
      <c r="S41" s="204">
        <f t="shared" si="7"/>
        <v>0.34583333333333338</v>
      </c>
      <c r="T41" s="204">
        <f t="shared" si="8"/>
        <v>0.74375000000000002</v>
      </c>
      <c r="U41" s="205" t="str">
        <f t="shared" si="10"/>
        <v>H</v>
      </c>
      <c r="V41" s="272">
        <f t="shared" si="9"/>
        <v>1</v>
      </c>
      <c r="W41" s="207" t="str">
        <f>IF(Introduction!$E$7=1,CONCATENATE("🌞 ➚ ",TEXT(S41,"hh:mm")," ","➘ ",TEXT(T41,"hh:mm")),CONCATENATE("☼ ➚ ",TEXT(S41,"hh:mm")," ","➘ ",TEXT(T41,"hh:mm")))</f>
        <v>🌞 ➚ 08:18 ➘ 17:51</v>
      </c>
      <c r="Y41" s="264">
        <v>31</v>
      </c>
      <c r="Z41" s="258" t="s">
        <v>490</v>
      </c>
      <c r="AA41" s="210" t="s">
        <v>448</v>
      </c>
      <c r="AB41" s="257" t="str">
        <f t="shared" si="18"/>
        <v>FR : Strasbourg</v>
      </c>
      <c r="AC41" s="218">
        <v>48.573405299999997</v>
      </c>
      <c r="AD41" s="218">
        <v>7.7521113000000197</v>
      </c>
      <c r="AE41" s="218">
        <f t="shared" si="19"/>
        <v>-7.7521113000000197</v>
      </c>
      <c r="AF41" s="254">
        <v>1</v>
      </c>
      <c r="AG41" s="254">
        <f t="shared" si="20"/>
        <v>2</v>
      </c>
    </row>
    <row r="42" spans="6:33" x14ac:dyDescent="0.2">
      <c r="F42" s="198">
        <f t="shared" si="11"/>
        <v>44231</v>
      </c>
      <c r="G42" s="199">
        <f t="shared" si="12"/>
        <v>35</v>
      </c>
      <c r="H42" s="200">
        <f t="shared" si="1"/>
        <v>31.495999999999981</v>
      </c>
      <c r="I42" s="200">
        <f t="shared" si="13"/>
        <v>1.0177671811272331</v>
      </c>
      <c r="J42" s="200">
        <f t="shared" si="2"/>
        <v>315.51376718112721</v>
      </c>
      <c r="K42" s="200">
        <f t="shared" si="14"/>
        <v>2.4637028678030317</v>
      </c>
      <c r="L42" s="201">
        <f t="shared" si="15"/>
        <v>13.92588019572106</v>
      </c>
      <c r="M42" s="202">
        <f t="shared" si="16"/>
        <v>0.58024500815504421</v>
      </c>
      <c r="N42" s="203">
        <f t="shared" si="17"/>
        <v>-16.185825072112905</v>
      </c>
      <c r="O42" s="200">
        <f t="shared" si="3"/>
        <v>71.9883532078032</v>
      </c>
      <c r="P42" s="200">
        <f t="shared" si="4"/>
        <v>4.7992235471868803</v>
      </c>
      <c r="Q42" s="200">
        <f t="shared" si="5"/>
        <v>7.2007764528131197</v>
      </c>
      <c r="R42" s="200">
        <f t="shared" si="6"/>
        <v>16.79922354718688</v>
      </c>
      <c r="S42" s="204">
        <f t="shared" si="7"/>
        <v>0.34513888888888888</v>
      </c>
      <c r="T42" s="204">
        <f t="shared" si="8"/>
        <v>0.74444444444444446</v>
      </c>
      <c r="U42" s="205" t="str">
        <f t="shared" si="10"/>
        <v>H</v>
      </c>
      <c r="V42" s="272">
        <f t="shared" si="9"/>
        <v>1</v>
      </c>
      <c r="W42" s="207" t="str">
        <f>IF(Introduction!$E$7=1,CONCATENATE("🌞 ➚ ",TEXT(S42,"hh:mm")," ","➘ ",TEXT(T42,"hh:mm")),CONCATENATE("☼ ➚ ",TEXT(S42,"hh:mm")," ","➘ ",TEXT(T42,"hh:mm")))</f>
        <v>🌞 ➚ 08:17 ➘ 17:52</v>
      </c>
      <c r="Y42" s="264">
        <v>32</v>
      </c>
      <c r="Z42" s="258" t="s">
        <v>490</v>
      </c>
      <c r="AA42" s="210" t="s">
        <v>460</v>
      </c>
      <c r="AB42" s="257" t="str">
        <f t="shared" si="18"/>
        <v>FR : Toulouse</v>
      </c>
      <c r="AC42" s="218">
        <v>43.604652000000002</v>
      </c>
      <c r="AD42" s="218">
        <v>1.4442090000000001</v>
      </c>
      <c r="AE42" s="218">
        <f t="shared" si="19"/>
        <v>-1.4442090000000001</v>
      </c>
      <c r="AF42" s="254">
        <v>1</v>
      </c>
      <c r="AG42" s="254">
        <f t="shared" si="20"/>
        <v>2</v>
      </c>
    </row>
    <row r="43" spans="6:33" x14ac:dyDescent="0.2">
      <c r="F43" s="198">
        <f t="shared" si="11"/>
        <v>44232</v>
      </c>
      <c r="G43" s="199">
        <f t="shared" si="12"/>
        <v>36</v>
      </c>
      <c r="H43" s="200">
        <f t="shared" si="1"/>
        <v>32.481600000000014</v>
      </c>
      <c r="I43" s="200">
        <f t="shared" si="13"/>
        <v>1.0459937189832265</v>
      </c>
      <c r="J43" s="200">
        <f t="shared" si="2"/>
        <v>316.52759371898327</v>
      </c>
      <c r="K43" s="200">
        <f t="shared" si="14"/>
        <v>2.4568534406355305</v>
      </c>
      <c r="L43" s="201">
        <f t="shared" si="15"/>
        <v>14.011388638475028</v>
      </c>
      <c r="M43" s="202">
        <f t="shared" si="16"/>
        <v>0.58380785993645945</v>
      </c>
      <c r="N43" s="203">
        <f t="shared" si="17"/>
        <v>-15.883869621758564</v>
      </c>
      <c r="O43" s="200">
        <f t="shared" si="3"/>
        <v>72.379263457257181</v>
      </c>
      <c r="P43" s="200">
        <f t="shared" si="4"/>
        <v>4.8252842304838124</v>
      </c>
      <c r="Q43" s="200">
        <f t="shared" si="5"/>
        <v>7.1747157695161876</v>
      </c>
      <c r="R43" s="200">
        <f t="shared" si="6"/>
        <v>16.825284230483813</v>
      </c>
      <c r="S43" s="204">
        <f t="shared" si="7"/>
        <v>0.34375</v>
      </c>
      <c r="T43" s="204">
        <f t="shared" si="8"/>
        <v>0.74583333333333324</v>
      </c>
      <c r="U43" s="205" t="str">
        <f t="shared" si="10"/>
        <v>H</v>
      </c>
      <c r="V43" s="272">
        <f t="shared" si="9"/>
        <v>1</v>
      </c>
      <c r="W43" s="207" t="str">
        <f>IF(Introduction!$E$7=1,CONCATENATE("🌞 ➚ ",TEXT(S43,"hh:mm")," ","➘ ",TEXT(T43,"hh:mm")),CONCATENATE("☼ ➚ ",TEXT(S43,"hh:mm")," ","➘ ",TEXT(T43,"hh:mm")))</f>
        <v>🌞 ➚ 08:15 ➘ 17:54</v>
      </c>
      <c r="Y43" s="264">
        <v>33</v>
      </c>
      <c r="Z43" s="265" t="s">
        <v>491</v>
      </c>
      <c r="AA43" s="266" t="s">
        <v>492</v>
      </c>
      <c r="AB43" s="267" t="str">
        <f t="shared" si="18"/>
        <v>GB : Belfast</v>
      </c>
      <c r="AC43" s="268">
        <v>4.5975279999999996</v>
      </c>
      <c r="AD43" s="268">
        <v>-5.905151</v>
      </c>
      <c r="AE43" s="268">
        <f t="shared" si="19"/>
        <v>5.905151</v>
      </c>
      <c r="AF43" s="269">
        <v>0</v>
      </c>
      <c r="AG43" s="269">
        <f t="shared" si="20"/>
        <v>1</v>
      </c>
    </row>
    <row r="44" spans="6:33" x14ac:dyDescent="0.2">
      <c r="F44" s="198">
        <f t="shared" si="11"/>
        <v>44233</v>
      </c>
      <c r="G44" s="199">
        <f t="shared" si="12"/>
        <v>37</v>
      </c>
      <c r="H44" s="200">
        <f t="shared" si="1"/>
        <v>33.467199999999991</v>
      </c>
      <c r="I44" s="200">
        <f t="shared" si="13"/>
        <v>1.0738946627807193</v>
      </c>
      <c r="J44" s="200">
        <f t="shared" si="2"/>
        <v>317.54109466278072</v>
      </c>
      <c r="K44" s="200">
        <f t="shared" si="14"/>
        <v>2.4469522326007338</v>
      </c>
      <c r="L44" s="201">
        <f t="shared" si="15"/>
        <v>14.083387581525812</v>
      </c>
      <c r="M44" s="202">
        <f t="shared" si="16"/>
        <v>0.58680781589690889</v>
      </c>
      <c r="N44" s="203">
        <f t="shared" si="17"/>
        <v>-15.577368603121011</v>
      </c>
      <c r="O44" s="200">
        <f t="shared" si="3"/>
        <v>72.774039887877123</v>
      </c>
      <c r="P44" s="200">
        <f t="shared" si="4"/>
        <v>4.8516026591918084</v>
      </c>
      <c r="Q44" s="200">
        <f t="shared" si="5"/>
        <v>7.1483973408081916</v>
      </c>
      <c r="R44" s="200">
        <f t="shared" si="6"/>
        <v>16.851602659191808</v>
      </c>
      <c r="S44" s="204">
        <f t="shared" si="7"/>
        <v>0.3430555555555555</v>
      </c>
      <c r="T44" s="204">
        <f t="shared" si="8"/>
        <v>0.74722222222222223</v>
      </c>
      <c r="U44" s="205" t="str">
        <f t="shared" si="10"/>
        <v>H</v>
      </c>
      <c r="V44" s="272">
        <f t="shared" si="9"/>
        <v>1</v>
      </c>
      <c r="W44" s="207" t="str">
        <f>IF(Introduction!$E$7=1,CONCATENATE("🌞 ➚ ",TEXT(S44,"hh:mm")," ","➘ ",TEXT(T44,"hh:mm")),CONCATENATE("☼ ➚ ",TEXT(S44,"hh:mm")," ","➘ ",TEXT(T44,"hh:mm")))</f>
        <v>🌞 ➚ 08:14 ➘ 17:56</v>
      </c>
      <c r="Y44" s="264">
        <v>34</v>
      </c>
      <c r="Z44" s="255" t="s">
        <v>491</v>
      </c>
      <c r="AA44" s="256" t="s">
        <v>493</v>
      </c>
      <c r="AB44" s="257" t="str">
        <f t="shared" si="18"/>
        <v>GB : Cardiff</v>
      </c>
      <c r="AC44" s="218">
        <v>51.495064999999997</v>
      </c>
      <c r="AD44" s="218">
        <v>-3.180542</v>
      </c>
      <c r="AE44" s="218">
        <f t="shared" si="19"/>
        <v>3.180542</v>
      </c>
      <c r="AF44" s="254">
        <v>0</v>
      </c>
      <c r="AG44" s="254">
        <f t="shared" si="20"/>
        <v>1</v>
      </c>
    </row>
    <row r="45" spans="6:33" x14ac:dyDescent="0.2">
      <c r="F45" s="198">
        <f t="shared" si="11"/>
        <v>44234</v>
      </c>
      <c r="G45" s="199">
        <f t="shared" si="12"/>
        <v>38</v>
      </c>
      <c r="H45" s="200">
        <f t="shared" si="1"/>
        <v>34.452800000000025</v>
      </c>
      <c r="I45" s="200">
        <f t="shared" si="13"/>
        <v>1.1014615077221779</v>
      </c>
      <c r="J45" s="200">
        <f t="shared" si="2"/>
        <v>318.55426150772223</v>
      </c>
      <c r="K45" s="200">
        <f t="shared" si="14"/>
        <v>2.434028614052925</v>
      </c>
      <c r="L45" s="201">
        <f t="shared" si="15"/>
        <v>14.141960487100413</v>
      </c>
      <c r="M45" s="202">
        <f t="shared" si="16"/>
        <v>0.58924835362918382</v>
      </c>
      <c r="N45" s="203">
        <f t="shared" si="17"/>
        <v>-15.266436932627887</v>
      </c>
      <c r="O45" s="200">
        <f t="shared" si="3"/>
        <v>73.172505984241994</v>
      </c>
      <c r="P45" s="200">
        <f t="shared" si="4"/>
        <v>4.8781670656161333</v>
      </c>
      <c r="Q45" s="200">
        <f t="shared" si="5"/>
        <v>7.1218329343838667</v>
      </c>
      <c r="R45" s="200">
        <f t="shared" si="6"/>
        <v>16.878167065616132</v>
      </c>
      <c r="S45" s="204">
        <f t="shared" si="7"/>
        <v>0.34166666666666662</v>
      </c>
      <c r="T45" s="204">
        <f t="shared" si="8"/>
        <v>0.74791666666666667</v>
      </c>
      <c r="U45" s="205" t="str">
        <f t="shared" si="10"/>
        <v>H</v>
      </c>
      <c r="V45" s="272">
        <f t="shared" si="9"/>
        <v>1</v>
      </c>
      <c r="W45" s="207" t="str">
        <f>IF(Introduction!$E$7=1,CONCATENATE("🌞 ➚ ",TEXT(S45,"hh:mm")," ","➘ ",TEXT(T45,"hh:mm")),CONCATENATE("☼ ➚ ",TEXT(S45,"hh:mm")," ","➘ ",TEXT(T45,"hh:mm")))</f>
        <v>🌞 ➚ 08:12 ➘ 17:57</v>
      </c>
      <c r="Y45" s="264">
        <v>35</v>
      </c>
      <c r="Z45" s="255" t="s">
        <v>491</v>
      </c>
      <c r="AA45" s="256" t="s">
        <v>494</v>
      </c>
      <c r="AB45" s="257" t="str">
        <f t="shared" si="18"/>
        <v>GB : Edimbourg</v>
      </c>
      <c r="AC45" s="218">
        <v>55.967649999999999</v>
      </c>
      <c r="AD45" s="218">
        <v>-3.180542</v>
      </c>
      <c r="AE45" s="218">
        <f t="shared" si="19"/>
        <v>3.180542</v>
      </c>
      <c r="AF45" s="254">
        <v>0</v>
      </c>
      <c r="AG45" s="254">
        <f t="shared" si="20"/>
        <v>1</v>
      </c>
    </row>
    <row r="46" spans="6:33" x14ac:dyDescent="0.2">
      <c r="F46" s="198">
        <f t="shared" si="11"/>
        <v>44235</v>
      </c>
      <c r="G46" s="199">
        <f t="shared" si="12"/>
        <v>39</v>
      </c>
      <c r="H46" s="200">
        <f t="shared" si="1"/>
        <v>35.438400000000001</v>
      </c>
      <c r="I46" s="200">
        <f t="shared" si="13"/>
        <v>1.128685867200458</v>
      </c>
      <c r="J46" s="200">
        <f t="shared" si="2"/>
        <v>319.56708586720043</v>
      </c>
      <c r="K46" s="200">
        <f t="shared" si="14"/>
        <v>2.4181156086306754</v>
      </c>
      <c r="L46" s="201">
        <f t="shared" si="15"/>
        <v>14.187205903324534</v>
      </c>
      <c r="M46" s="202">
        <f t="shared" si="16"/>
        <v>0.59113357930518895</v>
      </c>
      <c r="N46" s="203">
        <f t="shared" si="17"/>
        <v>-14.951189837626183</v>
      </c>
      <c r="O46" s="200">
        <f t="shared" si="3"/>
        <v>73.57449033721754</v>
      </c>
      <c r="P46" s="200">
        <f t="shared" si="4"/>
        <v>4.9049660224811698</v>
      </c>
      <c r="Q46" s="200">
        <f t="shared" si="5"/>
        <v>7.0950339775188302</v>
      </c>
      <c r="R46" s="200">
        <f t="shared" si="6"/>
        <v>16.904966022481169</v>
      </c>
      <c r="S46" s="204">
        <f t="shared" si="7"/>
        <v>0.34027777777777773</v>
      </c>
      <c r="T46" s="204">
        <f t="shared" si="8"/>
        <v>0.74930555555555556</v>
      </c>
      <c r="U46" s="205" t="str">
        <f t="shared" si="10"/>
        <v>H</v>
      </c>
      <c r="V46" s="272">
        <f t="shared" si="9"/>
        <v>1</v>
      </c>
      <c r="W46" s="207" t="str">
        <f>IF(Introduction!$E$7=1,CONCATENATE("🌞 ➚ ",TEXT(S46,"hh:mm")," ","➘ ",TEXT(T46,"hh:mm")),CONCATENATE("☼ ➚ ",TEXT(S46,"hh:mm")," ","➘ ",TEXT(T46,"hh:mm")))</f>
        <v>🌞 ➚ 08:10 ➘ 17:59</v>
      </c>
      <c r="Y46" s="264">
        <v>36</v>
      </c>
      <c r="Z46" s="255" t="s">
        <v>491</v>
      </c>
      <c r="AA46" s="256" t="s">
        <v>495</v>
      </c>
      <c r="AB46" s="257" t="str">
        <f t="shared" si="18"/>
        <v>GB : Londres</v>
      </c>
      <c r="AC46" s="218">
        <v>51.522416</v>
      </c>
      <c r="AD46" s="218">
        <v>-0.12634300000000001</v>
      </c>
      <c r="AE46" s="218">
        <f t="shared" si="19"/>
        <v>0.12634300000000001</v>
      </c>
      <c r="AF46" s="254">
        <v>0</v>
      </c>
      <c r="AG46" s="254">
        <f t="shared" si="20"/>
        <v>1</v>
      </c>
    </row>
    <row r="47" spans="6:33" x14ac:dyDescent="0.2">
      <c r="F47" s="198">
        <f t="shared" si="11"/>
        <v>44236</v>
      </c>
      <c r="G47" s="199">
        <f t="shared" si="12"/>
        <v>40</v>
      </c>
      <c r="H47" s="200">
        <f t="shared" si="1"/>
        <v>36.423999999999978</v>
      </c>
      <c r="I47" s="200">
        <f t="shared" si="13"/>
        <v>1.1555594755521141</v>
      </c>
      <c r="J47" s="200">
        <f t="shared" si="2"/>
        <v>320.57955947555212</v>
      </c>
      <c r="K47" s="200">
        <f t="shared" si="14"/>
        <v>2.3992497709684892</v>
      </c>
      <c r="L47" s="201">
        <f t="shared" si="15"/>
        <v>14.219236986082414</v>
      </c>
      <c r="M47" s="202">
        <f t="shared" si="16"/>
        <v>0.5924682077534339</v>
      </c>
      <c r="N47" s="203">
        <f t="shared" si="17"/>
        <v>-14.631742787817601</v>
      </c>
      <c r="O47" s="200">
        <f t="shared" si="3"/>
        <v>73.979826663864159</v>
      </c>
      <c r="P47" s="200">
        <f t="shared" si="4"/>
        <v>4.9319884442576107</v>
      </c>
      <c r="Q47" s="200">
        <f t="shared" si="5"/>
        <v>7.0680115557423893</v>
      </c>
      <c r="R47" s="200">
        <f t="shared" si="6"/>
        <v>16.931988444257613</v>
      </c>
      <c r="S47" s="204">
        <f t="shared" si="7"/>
        <v>0.33958333333333335</v>
      </c>
      <c r="T47" s="204">
        <f t="shared" si="8"/>
        <v>0.75069444444444444</v>
      </c>
      <c r="U47" s="205" t="str">
        <f t="shared" si="10"/>
        <v>H</v>
      </c>
      <c r="V47" s="272">
        <f t="shared" si="9"/>
        <v>1</v>
      </c>
      <c r="W47" s="207" t="str">
        <f>IF(Introduction!$E$7=1,CONCATENATE("🌞 ➚ ",TEXT(S47,"hh:mm")," ","➘ ",TEXT(T47,"hh:mm")),CONCATENATE("☼ ➚ ",TEXT(S47,"hh:mm")," ","➘ ",TEXT(T47,"hh:mm")))</f>
        <v>🌞 ➚ 08:09 ➘ 18:01</v>
      </c>
      <c r="Y47" s="264">
        <v>37</v>
      </c>
      <c r="Z47" s="255" t="s">
        <v>491</v>
      </c>
      <c r="AA47" s="256" t="s">
        <v>496</v>
      </c>
      <c r="AB47" s="257" t="str">
        <f t="shared" si="18"/>
        <v>GB : Newcastle-upon-Tyne</v>
      </c>
      <c r="AC47" s="218">
        <v>54.983918000000003</v>
      </c>
      <c r="AD47" s="218">
        <v>-1.609497</v>
      </c>
      <c r="AE47" s="218">
        <f t="shared" si="19"/>
        <v>1.609497</v>
      </c>
      <c r="AF47" s="254">
        <v>0</v>
      </c>
      <c r="AG47" s="254">
        <f t="shared" si="20"/>
        <v>1</v>
      </c>
    </row>
    <row r="48" spans="6:33" x14ac:dyDescent="0.2">
      <c r="F48" s="198">
        <f t="shared" si="11"/>
        <v>44237</v>
      </c>
      <c r="G48" s="199">
        <f t="shared" si="12"/>
        <v>41</v>
      </c>
      <c r="H48" s="200">
        <f t="shared" si="1"/>
        <v>37.409600000000012</v>
      </c>
      <c r="I48" s="200">
        <f t="shared" si="13"/>
        <v>1.1820741907517072</v>
      </c>
      <c r="J48" s="200">
        <f t="shared" si="2"/>
        <v>321.59167419075175</v>
      </c>
      <c r="K48" s="200">
        <f t="shared" si="14"/>
        <v>2.3774710612554264</v>
      </c>
      <c r="L48" s="201">
        <f t="shared" si="15"/>
        <v>14.238181008028533</v>
      </c>
      <c r="M48" s="202">
        <f t="shared" si="16"/>
        <v>0.59325754200118885</v>
      </c>
      <c r="N48" s="203">
        <f t="shared" si="17"/>
        <v>-14.308211430046306</v>
      </c>
      <c r="O48" s="200">
        <f t="shared" si="3"/>
        <v>74.3883538096715</v>
      </c>
      <c r="P48" s="200">
        <f t="shared" si="4"/>
        <v>4.959223587311433</v>
      </c>
      <c r="Q48" s="200">
        <f t="shared" si="5"/>
        <v>7.040776412688567</v>
      </c>
      <c r="R48" s="200">
        <f t="shared" si="6"/>
        <v>16.959223587311435</v>
      </c>
      <c r="S48" s="204">
        <f t="shared" si="7"/>
        <v>0.33819444444444446</v>
      </c>
      <c r="T48" s="204">
        <f t="shared" si="8"/>
        <v>0.75138888888888899</v>
      </c>
      <c r="U48" s="205" t="str">
        <f t="shared" si="10"/>
        <v>H</v>
      </c>
      <c r="V48" s="272">
        <f t="shared" si="9"/>
        <v>1</v>
      </c>
      <c r="W48" s="207" t="str">
        <f>IF(Introduction!$E$7=1,CONCATENATE("🌞 ➚ ",TEXT(S48,"hh:mm")," ","➘ ",TEXT(T48,"hh:mm")),CONCATENATE("☼ ➚ ",TEXT(S48,"hh:mm")," ","➘ ",TEXT(T48,"hh:mm")))</f>
        <v>🌞 ➚ 08:07 ➘ 18:02</v>
      </c>
      <c r="Y48" s="264">
        <v>38</v>
      </c>
      <c r="Z48" s="265" t="s">
        <v>497</v>
      </c>
      <c r="AA48" s="266" t="s">
        <v>498</v>
      </c>
      <c r="AB48" s="267" t="str">
        <f t="shared" si="18"/>
        <v>IE : Dublin</v>
      </c>
      <c r="AC48" s="268">
        <v>53.370221000000001</v>
      </c>
      <c r="AD48" s="268">
        <v>-6.2457279999999997</v>
      </c>
      <c r="AE48" s="268">
        <f t="shared" si="19"/>
        <v>6.2457279999999997</v>
      </c>
      <c r="AF48" s="269">
        <v>0</v>
      </c>
      <c r="AG48" s="269">
        <f t="shared" si="20"/>
        <v>1</v>
      </c>
    </row>
    <row r="49" spans="6:33" x14ac:dyDescent="0.2">
      <c r="F49" s="198">
        <f t="shared" si="11"/>
        <v>44238</v>
      </c>
      <c r="G49" s="199">
        <f t="shared" si="12"/>
        <v>42</v>
      </c>
      <c r="H49" s="200">
        <f t="shared" si="1"/>
        <v>38.395199999999988</v>
      </c>
      <c r="I49" s="200">
        <f t="shared" si="13"/>
        <v>1.2082219970460302</v>
      </c>
      <c r="J49" s="200">
        <f t="shared" si="2"/>
        <v>322.60342199704604</v>
      </c>
      <c r="K49" s="200">
        <f t="shared" si="14"/>
        <v>2.3528227171842286</v>
      </c>
      <c r="L49" s="201">
        <f t="shared" si="15"/>
        <v>14.244178856921035</v>
      </c>
      <c r="M49" s="202">
        <f t="shared" si="16"/>
        <v>0.59350745237170976</v>
      </c>
      <c r="N49" s="203">
        <f t="shared" si="17"/>
        <v>-13.980711526429884</v>
      </c>
      <c r="O49" s="200">
        <f t="shared" si="3"/>
        <v>74.799915734376725</v>
      </c>
      <c r="P49" s="200">
        <f t="shared" si="4"/>
        <v>4.9866610489584486</v>
      </c>
      <c r="Q49" s="200">
        <f t="shared" si="5"/>
        <v>7.0133389510415514</v>
      </c>
      <c r="R49" s="200">
        <f t="shared" si="6"/>
        <v>16.98666104895845</v>
      </c>
      <c r="S49" s="204">
        <f t="shared" si="7"/>
        <v>0.33749999999999997</v>
      </c>
      <c r="T49" s="204">
        <f t="shared" si="8"/>
        <v>0.75277777777777777</v>
      </c>
      <c r="U49" s="205" t="str">
        <f t="shared" si="10"/>
        <v>H</v>
      </c>
      <c r="V49" s="272">
        <f t="shared" si="9"/>
        <v>1</v>
      </c>
      <c r="W49" s="207" t="str">
        <f>IF(Introduction!$E$7=1,CONCATENATE("🌞 ➚ ",TEXT(S49,"hh:mm")," ","➘ ",TEXT(T49,"hh:mm")),CONCATENATE("☼ ➚ ",TEXT(S49,"hh:mm")," ","➘ ",TEXT(T49,"hh:mm")))</f>
        <v>🌞 ➚ 08:06 ➘ 18:04</v>
      </c>
      <c r="Y49" s="264">
        <v>39</v>
      </c>
      <c r="Z49" s="265" t="s">
        <v>499</v>
      </c>
      <c r="AA49" s="266" t="s">
        <v>500</v>
      </c>
      <c r="AB49" s="267" t="str">
        <f t="shared" si="18"/>
        <v>IT : Milan</v>
      </c>
      <c r="AC49" s="268">
        <v>45.475540000000002</v>
      </c>
      <c r="AD49" s="268">
        <v>9.2614750000000008</v>
      </c>
      <c r="AE49" s="268">
        <f t="shared" si="19"/>
        <v>-9.2614750000000008</v>
      </c>
      <c r="AF49" s="269">
        <v>1</v>
      </c>
      <c r="AG49" s="269">
        <f t="shared" si="20"/>
        <v>2</v>
      </c>
    </row>
    <row r="50" spans="6:33" x14ac:dyDescent="0.2">
      <c r="F50" s="198">
        <f t="shared" si="11"/>
        <v>44239</v>
      </c>
      <c r="G50" s="199">
        <f t="shared" si="12"/>
        <v>43</v>
      </c>
      <c r="H50" s="200">
        <f t="shared" si="1"/>
        <v>39.380800000000022</v>
      </c>
      <c r="I50" s="200">
        <f t="shared" si="13"/>
        <v>1.2339950075272332</v>
      </c>
      <c r="J50" s="200">
        <f t="shared" si="2"/>
        <v>323.61479500752728</v>
      </c>
      <c r="K50" s="200">
        <f t="shared" si="14"/>
        <v>2.3253511238260356</v>
      </c>
      <c r="L50" s="201">
        <f t="shared" si="15"/>
        <v>14.237384525413075</v>
      </c>
      <c r="M50" s="202">
        <f t="shared" si="16"/>
        <v>0.59322435522554484</v>
      </c>
      <c r="N50" s="203">
        <f t="shared" si="17"/>
        <v>-13.649358895814993</v>
      </c>
      <c r="O50" s="200">
        <f t="shared" si="3"/>
        <v>75.214361482594356</v>
      </c>
      <c r="P50" s="200">
        <f t="shared" si="4"/>
        <v>5.0142907655062903</v>
      </c>
      <c r="Q50" s="200">
        <f t="shared" si="5"/>
        <v>6.9857092344937097</v>
      </c>
      <c r="R50" s="200">
        <f t="shared" si="6"/>
        <v>17.014290765506288</v>
      </c>
      <c r="S50" s="204">
        <f t="shared" si="7"/>
        <v>0.33611111111111108</v>
      </c>
      <c r="T50" s="204">
        <f t="shared" si="8"/>
        <v>0.75416666666666676</v>
      </c>
      <c r="U50" s="205" t="str">
        <f t="shared" si="10"/>
        <v>H</v>
      </c>
      <c r="V50" s="272">
        <f t="shared" si="9"/>
        <v>1</v>
      </c>
      <c r="W50" s="207" t="str">
        <f>IF(Introduction!$E$7=1,CONCATENATE("🌞 ➚ ",TEXT(S50,"hh:mm")," ","➘ ",TEXT(T50,"hh:mm")),CONCATENATE("☼ ➚ ",TEXT(S50,"hh:mm")," ","➘ ",TEXT(T50,"hh:mm")))</f>
        <v>🌞 ➚ 08:04 ➘ 18:06</v>
      </c>
      <c r="Y50" s="264">
        <v>40</v>
      </c>
      <c r="Z50" s="258" t="s">
        <v>499</v>
      </c>
      <c r="AA50" s="256" t="s">
        <v>501</v>
      </c>
      <c r="AB50" s="257" t="str">
        <f t="shared" si="18"/>
        <v>IT : Naples</v>
      </c>
      <c r="AC50" s="218">
        <v>40.863680000000002</v>
      </c>
      <c r="AD50" s="218">
        <v>14.271240000000001</v>
      </c>
      <c r="AE50" s="218">
        <f t="shared" si="19"/>
        <v>-14.271240000000001</v>
      </c>
      <c r="AF50" s="254">
        <v>1</v>
      </c>
      <c r="AG50" s="254">
        <f t="shared" si="20"/>
        <v>2</v>
      </c>
    </row>
    <row r="51" spans="6:33" x14ac:dyDescent="0.2">
      <c r="F51" s="198">
        <f t="shared" si="11"/>
        <v>44240</v>
      </c>
      <c r="G51" s="199">
        <f t="shared" si="12"/>
        <v>44</v>
      </c>
      <c r="H51" s="200">
        <f t="shared" si="1"/>
        <v>40.366399999999999</v>
      </c>
      <c r="I51" s="200">
        <f t="shared" si="13"/>
        <v>1.2593854666437923</v>
      </c>
      <c r="J51" s="200">
        <f t="shared" si="2"/>
        <v>324.62578546664378</v>
      </c>
      <c r="K51" s="200">
        <f t="shared" si="14"/>
        <v>2.2951056819547486</v>
      </c>
      <c r="L51" s="201">
        <f t="shared" si="15"/>
        <v>14.217964594394164</v>
      </c>
      <c r="M51" s="202">
        <f t="shared" si="16"/>
        <v>0.59241519143309018</v>
      </c>
      <c r="N51" s="203">
        <f t="shared" si="17"/>
        <v>-13.314269358529424</v>
      </c>
      <c r="O51" s="200">
        <f t="shared" si="3"/>
        <v>75.631545140451024</v>
      </c>
      <c r="P51" s="200">
        <f t="shared" si="4"/>
        <v>5.0421030093634016</v>
      </c>
      <c r="Q51" s="200">
        <f t="shared" si="5"/>
        <v>6.9578969906365984</v>
      </c>
      <c r="R51" s="200">
        <f t="shared" si="6"/>
        <v>17.042103009363402</v>
      </c>
      <c r="S51" s="204">
        <f t="shared" si="7"/>
        <v>0.3347222222222222</v>
      </c>
      <c r="T51" s="204">
        <f t="shared" si="8"/>
        <v>0.75486111111111109</v>
      </c>
      <c r="U51" s="205" t="str">
        <f t="shared" si="10"/>
        <v>H</v>
      </c>
      <c r="V51" s="272">
        <f t="shared" si="9"/>
        <v>1</v>
      </c>
      <c r="W51" s="207" t="str">
        <f>IF(Introduction!$E$7=1,CONCATENATE("🌞 ➚ ",TEXT(S51,"hh:mm")," ","➘ ",TEXT(T51,"hh:mm")),CONCATENATE("☼ ➚ ",TEXT(S51,"hh:mm")," ","➘ ",TEXT(T51,"hh:mm")))</f>
        <v>🌞 ➚ 08:02 ➘ 18:07</v>
      </c>
      <c r="Y51" s="264">
        <v>41</v>
      </c>
      <c r="Z51" s="258" t="s">
        <v>499</v>
      </c>
      <c r="AA51" s="256" t="s">
        <v>502</v>
      </c>
      <c r="AB51" s="257" t="str">
        <f t="shared" si="18"/>
        <v>IT : Rome</v>
      </c>
      <c r="AC51" s="218">
        <v>41.967658999999998</v>
      </c>
      <c r="AD51" s="218">
        <v>12.502440999999999</v>
      </c>
      <c r="AE51" s="218">
        <f t="shared" si="19"/>
        <v>-12.502440999999999</v>
      </c>
      <c r="AF51" s="254">
        <v>1</v>
      </c>
      <c r="AG51" s="254">
        <f t="shared" si="20"/>
        <v>2</v>
      </c>
    </row>
    <row r="52" spans="6:33" x14ac:dyDescent="0.2">
      <c r="F52" s="198">
        <f t="shared" si="11"/>
        <v>44241</v>
      </c>
      <c r="G52" s="199">
        <f t="shared" si="12"/>
        <v>45</v>
      </c>
      <c r="H52" s="200">
        <f t="shared" si="1"/>
        <v>41.351999999999975</v>
      </c>
      <c r="I52" s="200">
        <f t="shared" si="13"/>
        <v>1.2843857526484335</v>
      </c>
      <c r="J52" s="200">
        <f t="shared" si="2"/>
        <v>325.63638575264849</v>
      </c>
      <c r="K52" s="200">
        <f t="shared" si="14"/>
        <v>2.2621386753315122</v>
      </c>
      <c r="L52" s="201">
        <f t="shared" si="15"/>
        <v>14.186097711919782</v>
      </c>
      <c r="M52" s="202">
        <f t="shared" si="16"/>
        <v>0.59108740466332421</v>
      </c>
      <c r="N52" s="203">
        <f t="shared" si="17"/>
        <v>-12.975558684391753</v>
      </c>
      <c r="O52" s="200">
        <f t="shared" si="3"/>
        <v>76.051325779380633</v>
      </c>
      <c r="P52" s="200">
        <f t="shared" si="4"/>
        <v>5.070088385292042</v>
      </c>
      <c r="Q52" s="200">
        <f t="shared" si="5"/>
        <v>6.929911614707958</v>
      </c>
      <c r="R52" s="200">
        <f t="shared" si="6"/>
        <v>17.070088385292042</v>
      </c>
      <c r="S52" s="204">
        <f t="shared" si="7"/>
        <v>0.33402777777777781</v>
      </c>
      <c r="T52" s="204">
        <f t="shared" si="8"/>
        <v>0.75624999999999998</v>
      </c>
      <c r="U52" s="205" t="str">
        <f t="shared" si="10"/>
        <v>H</v>
      </c>
      <c r="V52" s="272">
        <f t="shared" si="9"/>
        <v>1</v>
      </c>
      <c r="W52" s="207" t="str">
        <f>IF(Introduction!$E$7=1,CONCATENATE("🌞 ➚ ",TEXT(S52,"hh:mm")," ","➘ ",TEXT(T52,"hh:mm")),CONCATENATE("☼ ➚ ",TEXT(S52,"hh:mm")," ","➘ ",TEXT(T52,"hh:mm")))</f>
        <v>🌞 ➚ 08:01 ➘ 18:09</v>
      </c>
      <c r="Y52" s="264">
        <v>42</v>
      </c>
      <c r="Z52" s="265" t="s">
        <v>503</v>
      </c>
      <c r="AA52" s="266" t="s">
        <v>504</v>
      </c>
      <c r="AB52" s="267" t="str">
        <f t="shared" si="18"/>
        <v>NL : Amsterdam</v>
      </c>
      <c r="AC52" s="268">
        <v>52.375599000000001</v>
      </c>
      <c r="AD52" s="268">
        <v>4.9163819999999996</v>
      </c>
      <c r="AE52" s="268">
        <f t="shared" si="19"/>
        <v>-4.9163819999999996</v>
      </c>
      <c r="AF52" s="269">
        <v>1</v>
      </c>
      <c r="AG52" s="269">
        <f t="shared" si="20"/>
        <v>2</v>
      </c>
    </row>
    <row r="53" spans="6:33" x14ac:dyDescent="0.2">
      <c r="F53" s="198">
        <f t="shared" si="11"/>
        <v>44242</v>
      </c>
      <c r="G53" s="199">
        <f t="shared" si="12"/>
        <v>46</v>
      </c>
      <c r="H53" s="200">
        <f t="shared" si="1"/>
        <v>42.337600000000009</v>
      </c>
      <c r="I53" s="200">
        <f t="shared" si="13"/>
        <v>1.3089883799820554</v>
      </c>
      <c r="J53" s="200">
        <f t="shared" si="2"/>
        <v>326.64658837998206</v>
      </c>
      <c r="K53" s="200">
        <f t="shared" si="14"/>
        <v>2.22650513744416</v>
      </c>
      <c r="L53" s="201">
        <f t="shared" si="15"/>
        <v>14.141974069704862</v>
      </c>
      <c r="M53" s="202">
        <f t="shared" si="16"/>
        <v>0.58924891957103587</v>
      </c>
      <c r="N53" s="203">
        <f t="shared" si="17"/>
        <v>-12.633342543934004</v>
      </c>
      <c r="O53" s="200">
        <f t="shared" si="3"/>
        <v>76.473567388188201</v>
      </c>
      <c r="P53" s="200">
        <f t="shared" si="4"/>
        <v>5.0982378258792131</v>
      </c>
      <c r="Q53" s="200">
        <f t="shared" si="5"/>
        <v>6.9017621741207869</v>
      </c>
      <c r="R53" s="200">
        <f t="shared" si="6"/>
        <v>17.098237825879213</v>
      </c>
      <c r="S53" s="204">
        <f t="shared" si="7"/>
        <v>0.33263888888888887</v>
      </c>
      <c r="T53" s="204">
        <f t="shared" si="8"/>
        <v>0.75763888888888886</v>
      </c>
      <c r="U53" s="205" t="str">
        <f t="shared" si="10"/>
        <v>H</v>
      </c>
      <c r="V53" s="272">
        <f t="shared" si="9"/>
        <v>1</v>
      </c>
      <c r="W53" s="207" t="str">
        <f>IF(Introduction!$E$7=1,CONCATENATE("🌞 ➚ ",TEXT(S53,"hh:mm")," ","➘ ",TEXT(T53,"hh:mm")),CONCATENATE("☼ ➚ ",TEXT(S53,"hh:mm")," ","➘ ",TEXT(T53,"hh:mm")))</f>
        <v>🌞 ➚ 07:59 ➘ 18:11</v>
      </c>
      <c r="Y53" s="264">
        <v>43</v>
      </c>
      <c r="Z53" s="265" t="s">
        <v>505</v>
      </c>
      <c r="AA53" s="266" t="s">
        <v>506</v>
      </c>
      <c r="AB53" s="267" t="str">
        <f t="shared" si="18"/>
        <v>PT : Lisbonne</v>
      </c>
      <c r="AC53" s="268">
        <v>38.736946000000003</v>
      </c>
      <c r="AD53" s="268">
        <v>-9.0856929999999991</v>
      </c>
      <c r="AE53" s="268">
        <f t="shared" si="19"/>
        <v>9.0856929999999991</v>
      </c>
      <c r="AF53" s="269">
        <v>0</v>
      </c>
      <c r="AG53" s="269">
        <f t="shared" si="20"/>
        <v>1</v>
      </c>
    </row>
    <row r="54" spans="6:33" x14ac:dyDescent="0.2">
      <c r="F54" s="198">
        <f t="shared" si="11"/>
        <v>44243</v>
      </c>
      <c r="G54" s="199">
        <f t="shared" si="12"/>
        <v>47</v>
      </c>
      <c r="H54" s="200">
        <f t="shared" si="1"/>
        <v>43.323199999999986</v>
      </c>
      <c r="I54" s="200">
        <f t="shared" si="13"/>
        <v>1.3331860015928143</v>
      </c>
      <c r="J54" s="200">
        <f t="shared" si="2"/>
        <v>327.65638600159281</v>
      </c>
      <c r="K54" s="200">
        <f t="shared" si="14"/>
        <v>2.1882627181782319</v>
      </c>
      <c r="L54" s="201">
        <f t="shared" si="15"/>
        <v>14.085794879084185</v>
      </c>
      <c r="M54" s="202">
        <f t="shared" si="16"/>
        <v>0.586908119961841</v>
      </c>
      <c r="N54" s="203">
        <f t="shared" si="17"/>
        <v>-12.287736462782288</v>
      </c>
      <c r="O54" s="200">
        <f t="shared" si="3"/>
        <v>76.898138794447178</v>
      </c>
      <c r="P54" s="200">
        <f t="shared" si="4"/>
        <v>5.1265425862964786</v>
      </c>
      <c r="Q54" s="200">
        <f t="shared" si="5"/>
        <v>6.8734574137035214</v>
      </c>
      <c r="R54" s="200">
        <f t="shared" si="6"/>
        <v>17.12654258629648</v>
      </c>
      <c r="S54" s="204">
        <f t="shared" si="7"/>
        <v>0.33124999999999999</v>
      </c>
      <c r="T54" s="204">
        <f t="shared" si="8"/>
        <v>0.7583333333333333</v>
      </c>
      <c r="U54" s="205" t="str">
        <f t="shared" si="10"/>
        <v>H</v>
      </c>
      <c r="V54" s="272">
        <f t="shared" si="9"/>
        <v>1</v>
      </c>
      <c r="W54" s="207" t="str">
        <f>IF(Introduction!$E$7=1,CONCATENATE("🌞 ➚ ",TEXT(S54,"hh:mm")," ","➘ ",TEXT(T54,"hh:mm")),CONCATENATE("☼ ➚ ",TEXT(S54,"hh:mm")," ","➘ ",TEXT(T54,"hh:mm")))</f>
        <v>🌞 ➚ 07:57 ➘ 18:12</v>
      </c>
      <c r="Y54" s="259">
        <v>44</v>
      </c>
      <c r="Z54" s="260" t="s">
        <v>507</v>
      </c>
      <c r="AA54" s="261" t="s">
        <v>508</v>
      </c>
      <c r="AB54" s="261" t="str">
        <f t="shared" si="18"/>
        <v>RO : Bucarest</v>
      </c>
      <c r="AC54" s="262">
        <v>44.418087999999997</v>
      </c>
      <c r="AD54" s="262">
        <v>26.070557000000001</v>
      </c>
      <c r="AE54" s="262">
        <f t="shared" si="19"/>
        <v>-26.070557000000001</v>
      </c>
      <c r="AF54" s="263">
        <v>2</v>
      </c>
      <c r="AG54" s="263">
        <f t="shared" si="20"/>
        <v>3</v>
      </c>
    </row>
    <row r="55" spans="6:33" x14ac:dyDescent="0.2">
      <c r="F55" s="198">
        <f t="shared" si="11"/>
        <v>44244</v>
      </c>
      <c r="G55" s="199">
        <f t="shared" si="12"/>
        <v>48</v>
      </c>
      <c r="H55" s="200">
        <f t="shared" si="1"/>
        <v>44.308800000000019</v>
      </c>
      <c r="I55" s="200">
        <f t="shared" si="13"/>
        <v>1.3569714111895745</v>
      </c>
      <c r="J55" s="200">
        <f t="shared" si="2"/>
        <v>328.66577141118961</v>
      </c>
      <c r="K55" s="200">
        <f t="shared" si="14"/>
        <v>2.1474715508763831</v>
      </c>
      <c r="L55" s="201">
        <f t="shared" si="15"/>
        <v>14.01777184826383</v>
      </c>
      <c r="M55" s="202">
        <f t="shared" si="16"/>
        <v>0.58407382701099297</v>
      </c>
      <c r="N55" s="203">
        <f t="shared" si="17"/>
        <v>-11.93885577913635</v>
      </c>
      <c r="O55" s="200">
        <f t="shared" si="3"/>
        <v>77.324913576241599</v>
      </c>
      <c r="P55" s="200">
        <f t="shared" si="4"/>
        <v>5.1549942384161067</v>
      </c>
      <c r="Q55" s="200">
        <f t="shared" si="5"/>
        <v>6.8450057615838933</v>
      </c>
      <c r="R55" s="200">
        <f t="shared" si="6"/>
        <v>17.154994238416108</v>
      </c>
      <c r="S55" s="204">
        <f t="shared" si="7"/>
        <v>0.3298611111111111</v>
      </c>
      <c r="T55" s="204">
        <f t="shared" si="8"/>
        <v>0.7597222222222223</v>
      </c>
      <c r="U55" s="205" t="str">
        <f t="shared" si="10"/>
        <v>H</v>
      </c>
      <c r="V55" s="272">
        <f t="shared" si="9"/>
        <v>1</v>
      </c>
      <c r="W55" s="207" t="str">
        <f>IF(Introduction!$E$7=1,CONCATENATE("🌞 ➚ ",TEXT(S55,"hh:mm")," ","➘ ",TEXT(T55,"hh:mm")),CONCATENATE("☼ ➚ ",TEXT(S55,"hh:mm")," ","➘ ",TEXT(T55,"hh:mm")))</f>
        <v>🌞 ➚ 07:55 ➘ 18:14</v>
      </c>
    </row>
    <row r="56" spans="6:33" x14ac:dyDescent="0.2">
      <c r="F56" s="198">
        <f t="shared" si="11"/>
        <v>44245</v>
      </c>
      <c r="G56" s="199">
        <f t="shared" si="12"/>
        <v>49</v>
      </c>
      <c r="H56" s="200">
        <f t="shared" si="1"/>
        <v>45.294399999999996</v>
      </c>
      <c r="I56" s="200">
        <f t="shared" si="13"/>
        <v>1.3803375454289279</v>
      </c>
      <c r="J56" s="200">
        <f t="shared" si="2"/>
        <v>329.67473754542891</v>
      </c>
      <c r="K56" s="200">
        <f t="shared" si="14"/>
        <v>2.1041941202209289</v>
      </c>
      <c r="L56" s="201">
        <f t="shared" si="15"/>
        <v>13.938126662599426</v>
      </c>
      <c r="M56" s="202">
        <f t="shared" si="16"/>
        <v>0.58075527760830947</v>
      </c>
      <c r="N56" s="203">
        <f t="shared" si="17"/>
        <v>-11.586815604281103</v>
      </c>
      <c r="O56" s="200">
        <f t="shared" si="3"/>
        <v>77.753769965215071</v>
      </c>
      <c r="P56" s="200">
        <f t="shared" si="4"/>
        <v>5.1835846643476717</v>
      </c>
      <c r="Q56" s="200">
        <f t="shared" si="5"/>
        <v>6.8164153356523283</v>
      </c>
      <c r="R56" s="200">
        <f t="shared" si="6"/>
        <v>17.18358466434767</v>
      </c>
      <c r="S56" s="204">
        <f t="shared" si="7"/>
        <v>0.32916666666666666</v>
      </c>
      <c r="T56" s="204">
        <f t="shared" si="8"/>
        <v>0.76111111111111107</v>
      </c>
      <c r="U56" s="205" t="str">
        <f t="shared" si="10"/>
        <v>H</v>
      </c>
      <c r="V56" s="272">
        <f t="shared" si="9"/>
        <v>1</v>
      </c>
      <c r="W56" s="207" t="str">
        <f>IF(Introduction!$E$7=1,CONCATENATE("🌞 ➚ ",TEXT(S56,"hh:mm")," ","➘ ",TEXT(T56,"hh:mm")),CONCATENATE("☼ ➚ ",TEXT(S56,"hh:mm")," ","➘ ",TEXT(T56,"hh:mm")))</f>
        <v>🌞 ➚ 07:54 ➘ 18:16</v>
      </c>
    </row>
    <row r="57" spans="6:33" x14ac:dyDescent="0.2">
      <c r="F57" s="198">
        <f t="shared" si="11"/>
        <v>44246</v>
      </c>
      <c r="G57" s="199">
        <f t="shared" si="12"/>
        <v>50</v>
      </c>
      <c r="H57" s="200">
        <f t="shared" si="1"/>
        <v>46.279999999999973</v>
      </c>
      <c r="I57" s="200">
        <f t="shared" si="13"/>
        <v>1.4032774860351136</v>
      </c>
      <c r="J57" s="200">
        <f t="shared" si="2"/>
        <v>330.68327748603508</v>
      </c>
      <c r="K57" s="200">
        <f t="shared" si="14"/>
        <v>2.0584951313506612</v>
      </c>
      <c r="L57" s="201">
        <f t="shared" si="15"/>
        <v>13.847090469543099</v>
      </c>
      <c r="M57" s="202">
        <f t="shared" si="16"/>
        <v>0.57696210289762917</v>
      </c>
      <c r="N57" s="203">
        <f t="shared" si="17"/>
        <v>-11.231730786058391</v>
      </c>
      <c r="O57" s="200">
        <f t="shared" si="3"/>
        <v>78.184590741834413</v>
      </c>
      <c r="P57" s="200">
        <f t="shared" si="4"/>
        <v>5.2123060494556279</v>
      </c>
      <c r="Q57" s="200">
        <f t="shared" si="5"/>
        <v>6.7876939505443721</v>
      </c>
      <c r="R57" s="200">
        <f t="shared" si="6"/>
        <v>17.212306049455627</v>
      </c>
      <c r="S57" s="204">
        <f t="shared" si="7"/>
        <v>0.32777777777777778</v>
      </c>
      <c r="T57" s="204">
        <f t="shared" si="8"/>
        <v>0.76180555555555562</v>
      </c>
      <c r="U57" s="205" t="str">
        <f t="shared" si="10"/>
        <v>H</v>
      </c>
      <c r="V57" s="272">
        <f t="shared" si="9"/>
        <v>1</v>
      </c>
      <c r="W57" s="207" t="str">
        <f>IF(Introduction!$E$7=1,CONCATENATE("🌞 ➚ ",TEXT(S57,"hh:mm")," ","➘ ",TEXT(T57,"hh:mm")),CONCATENATE("☼ ➚ ",TEXT(S57,"hh:mm")," ","➘ ",TEXT(T57,"hh:mm")))</f>
        <v>🌞 ➚ 07:52 ➘ 18:17</v>
      </c>
    </row>
    <row r="58" spans="6:33" x14ac:dyDescent="0.2">
      <c r="F58" s="198">
        <f t="shared" si="11"/>
        <v>44247</v>
      </c>
      <c r="G58" s="199">
        <f t="shared" si="12"/>
        <v>51</v>
      </c>
      <c r="H58" s="200">
        <f t="shared" si="1"/>
        <v>47.265600000000006</v>
      </c>
      <c r="I58" s="200">
        <f t="shared" si="13"/>
        <v>1.4257844618521387</v>
      </c>
      <c r="J58" s="200">
        <f t="shared" si="2"/>
        <v>331.69138446185212</v>
      </c>
      <c r="K58" s="200">
        <f t="shared" si="14"/>
        <v>2.0104413805979631</v>
      </c>
      <c r="L58" s="201">
        <f t="shared" si="15"/>
        <v>13.744903369800408</v>
      </c>
      <c r="M58" s="202">
        <f t="shared" si="16"/>
        <v>0.57270430707501696</v>
      </c>
      <c r="N58" s="203">
        <f t="shared" si="17"/>
        <v>-10.87371587522304</v>
      </c>
      <c r="O58" s="200">
        <f t="shared" si="3"/>
        <v>78.617263123722523</v>
      </c>
      <c r="P58" s="200">
        <f t="shared" si="4"/>
        <v>5.241150874914835</v>
      </c>
      <c r="Q58" s="200">
        <f t="shared" si="5"/>
        <v>6.758849125085165</v>
      </c>
      <c r="R58" s="200">
        <f t="shared" si="6"/>
        <v>17.241150874914837</v>
      </c>
      <c r="S58" s="204">
        <f t="shared" si="7"/>
        <v>0.3263888888888889</v>
      </c>
      <c r="T58" s="204">
        <f t="shared" si="8"/>
        <v>0.7631944444444444</v>
      </c>
      <c r="U58" s="205" t="str">
        <f t="shared" si="10"/>
        <v>H</v>
      </c>
      <c r="V58" s="272">
        <f t="shared" si="9"/>
        <v>1</v>
      </c>
      <c r="W58" s="207" t="str">
        <f>IF(Introduction!$E$7=1,CONCATENATE("🌞 ➚ ",TEXT(S58,"hh:mm")," ","➘ ",TEXT(T58,"hh:mm")),CONCATENATE("☼ ➚ ",TEXT(S58,"hh:mm")," ","➘ ",TEXT(T58,"hh:mm")))</f>
        <v>🌞 ➚ 07:50 ➘ 18:19</v>
      </c>
    </row>
    <row r="59" spans="6:33" x14ac:dyDescent="0.2">
      <c r="F59" s="198">
        <f t="shared" si="11"/>
        <v>44248</v>
      </c>
      <c r="G59" s="199">
        <f t="shared" si="12"/>
        <v>52</v>
      </c>
      <c r="H59" s="200">
        <f t="shared" si="1"/>
        <v>48.251199999999983</v>
      </c>
      <c r="I59" s="200">
        <f t="shared" si="13"/>
        <v>1.447851850827504</v>
      </c>
      <c r="J59" s="200">
        <f t="shared" si="2"/>
        <v>332.69905185082746</v>
      </c>
      <c r="K59" s="200">
        <f t="shared" si="14"/>
        <v>1.9601016282055594</v>
      </c>
      <c r="L59" s="201">
        <f t="shared" si="15"/>
        <v>13.631813916132254</v>
      </c>
      <c r="M59" s="202">
        <f t="shared" si="16"/>
        <v>0.56799224650551061</v>
      </c>
      <c r="N59" s="203">
        <f t="shared" si="17"/>
        <v>-10.512885094602256</v>
      </c>
      <c r="O59" s="200">
        <f t="shared" si="3"/>
        <v>79.051678647861564</v>
      </c>
      <c r="P59" s="200">
        <f t="shared" si="4"/>
        <v>5.2701119098574374</v>
      </c>
      <c r="Q59" s="200">
        <f t="shared" si="5"/>
        <v>6.7298880901425626</v>
      </c>
      <c r="R59" s="200">
        <f t="shared" si="6"/>
        <v>17.270111909857437</v>
      </c>
      <c r="S59" s="204">
        <f t="shared" si="7"/>
        <v>0.32500000000000001</v>
      </c>
      <c r="T59" s="204">
        <f t="shared" si="8"/>
        <v>0.76388888888888884</v>
      </c>
      <c r="U59" s="205" t="str">
        <f t="shared" si="10"/>
        <v>H</v>
      </c>
      <c r="V59" s="272">
        <f t="shared" si="9"/>
        <v>1</v>
      </c>
      <c r="W59" s="207" t="str">
        <f>IF(Introduction!$E$7=1,CONCATENATE("🌞 ➚ ",TEXT(S59,"hh:mm")," ","➘ ",TEXT(T59,"hh:mm")),CONCATENATE("☼ ➚ ",TEXT(S59,"hh:mm")," ","➘ ",TEXT(T59,"hh:mm")))</f>
        <v>🌞 ➚ 07:48 ➘ 18:20</v>
      </c>
    </row>
    <row r="60" spans="6:33" x14ac:dyDescent="0.2">
      <c r="F60" s="198">
        <f t="shared" si="11"/>
        <v>44249</v>
      </c>
      <c r="G60" s="199">
        <f t="shared" si="12"/>
        <v>53</v>
      </c>
      <c r="H60" s="200">
        <f t="shared" si="1"/>
        <v>49.236800000000017</v>
      </c>
      <c r="I60" s="200">
        <f t="shared" si="13"/>
        <v>1.4694731819269793</v>
      </c>
      <c r="J60" s="200">
        <f t="shared" si="2"/>
        <v>333.70627318192697</v>
      </c>
      <c r="K60" s="200">
        <f t="shared" si="14"/>
        <v>1.9075464733545813</v>
      </c>
      <c r="L60" s="201">
        <f t="shared" si="15"/>
        <v>13.508078621126241</v>
      </c>
      <c r="M60" s="202">
        <f t="shared" si="16"/>
        <v>0.56283660921359335</v>
      </c>
      <c r="N60" s="203">
        <f t="shared" si="17"/>
        <v>-10.149352310974606</v>
      </c>
      <c r="O60" s="200">
        <f t="shared" si="3"/>
        <v>79.487733047413855</v>
      </c>
      <c r="P60" s="200">
        <f t="shared" si="4"/>
        <v>5.2991822031609237</v>
      </c>
      <c r="Q60" s="200">
        <f t="shared" si="5"/>
        <v>6.7008177968390763</v>
      </c>
      <c r="R60" s="200">
        <f t="shared" si="6"/>
        <v>17.299182203160925</v>
      </c>
      <c r="S60" s="204">
        <f t="shared" si="7"/>
        <v>0.32361111111111113</v>
      </c>
      <c r="T60" s="204">
        <f t="shared" si="8"/>
        <v>0.76527777777777783</v>
      </c>
      <c r="U60" s="205" t="str">
        <f t="shared" si="10"/>
        <v>H</v>
      </c>
      <c r="V60" s="272">
        <f t="shared" si="9"/>
        <v>1</v>
      </c>
      <c r="W60" s="207" t="str">
        <f>IF(Introduction!$E$7=1,CONCATENATE("🌞 ➚ ",TEXT(S60,"hh:mm")," ","➘ ",TEXT(T60,"hh:mm")),CONCATENATE("☼ ➚ ",TEXT(S60,"hh:mm")," ","➘ ",TEXT(T60,"hh:mm")))</f>
        <v>🌞 ➚ 07:46 ➘ 18:22</v>
      </c>
    </row>
    <row r="61" spans="6:33" x14ac:dyDescent="0.2">
      <c r="F61" s="198">
        <f t="shared" si="11"/>
        <v>44250</v>
      </c>
      <c r="G61" s="199">
        <f t="shared" si="12"/>
        <v>54</v>
      </c>
      <c r="H61" s="200">
        <f t="shared" si="1"/>
        <v>50.222399999999993</v>
      </c>
      <c r="I61" s="200">
        <f t="shared" si="13"/>
        <v>1.4906421369798877</v>
      </c>
      <c r="J61" s="200">
        <f t="shared" si="2"/>
        <v>334.71304213697988</v>
      </c>
      <c r="K61" s="200">
        <f t="shared" si="14"/>
        <v>1.852848231806816</v>
      </c>
      <c r="L61" s="201">
        <f t="shared" si="15"/>
        <v>13.373961475146814</v>
      </c>
      <c r="M61" s="202">
        <f t="shared" si="16"/>
        <v>0.55724839479778387</v>
      </c>
      <c r="N61" s="203">
        <f t="shared" si="17"/>
        <v>-9.7832310095818169</v>
      </c>
      <c r="O61" s="200">
        <f t="shared" si="3"/>
        <v>79.925326123855584</v>
      </c>
      <c r="P61" s="200">
        <f t="shared" si="4"/>
        <v>5.3283550749237056</v>
      </c>
      <c r="Q61" s="200">
        <f t="shared" si="5"/>
        <v>6.6716449250762944</v>
      </c>
      <c r="R61" s="200">
        <f t="shared" si="6"/>
        <v>17.328355074923707</v>
      </c>
      <c r="S61" s="204">
        <f t="shared" si="7"/>
        <v>0.32222222222222224</v>
      </c>
      <c r="T61" s="204">
        <f t="shared" si="8"/>
        <v>0.76666666666666661</v>
      </c>
      <c r="U61" s="205" t="str">
        <f t="shared" si="10"/>
        <v>H</v>
      </c>
      <c r="V61" s="272">
        <f t="shared" si="9"/>
        <v>1</v>
      </c>
      <c r="W61" s="207" t="str">
        <f>IF(Introduction!$E$7=1,CONCATENATE("🌞 ➚ ",TEXT(S61,"hh:mm")," ","➘ ",TEXT(T61,"hh:mm")),CONCATENATE("☼ ➚ ",TEXT(S61,"hh:mm")," ","➘ ",TEXT(T61,"hh:mm")))</f>
        <v>🌞 ➚ 07:44 ➘ 18:24</v>
      </c>
    </row>
    <row r="62" spans="6:33" x14ac:dyDescent="0.2">
      <c r="F62" s="198">
        <f t="shared" si="11"/>
        <v>44251</v>
      </c>
      <c r="G62" s="199">
        <f t="shared" si="12"/>
        <v>55</v>
      </c>
      <c r="H62" s="200">
        <f t="shared" si="1"/>
        <v>51.20799999999997</v>
      </c>
      <c r="I62" s="200">
        <f t="shared" si="13"/>
        <v>1.5113525524544702</v>
      </c>
      <c r="J62" s="200">
        <f t="shared" si="2"/>
        <v>335.71935255245444</v>
      </c>
      <c r="K62" s="200">
        <f t="shared" si="14"/>
        <v>1.7960808164343698</v>
      </c>
      <c r="L62" s="201">
        <f t="shared" si="15"/>
        <v>13.22973347555536</v>
      </c>
      <c r="M62" s="202">
        <f t="shared" si="16"/>
        <v>0.5512388948148067</v>
      </c>
      <c r="N62" s="203">
        <f t="shared" si="17"/>
        <v>-9.4146342711835143</v>
      </c>
      <c r="O62" s="200">
        <f t="shared" si="3"/>
        <v>80.364361615067295</v>
      </c>
      <c r="P62" s="200">
        <f t="shared" si="4"/>
        <v>5.3576241076711533</v>
      </c>
      <c r="Q62" s="200">
        <f t="shared" si="5"/>
        <v>6.6423758923288467</v>
      </c>
      <c r="R62" s="200">
        <f t="shared" si="6"/>
        <v>17.357624107671153</v>
      </c>
      <c r="S62" s="204">
        <f t="shared" si="7"/>
        <v>0.32083333333333336</v>
      </c>
      <c r="T62" s="204">
        <f t="shared" si="8"/>
        <v>0.76736111111111116</v>
      </c>
      <c r="U62" s="205" t="str">
        <f t="shared" si="10"/>
        <v>H</v>
      </c>
      <c r="V62" s="272">
        <f t="shared" si="9"/>
        <v>1</v>
      </c>
      <c r="W62" s="207" t="str">
        <f>IF(Introduction!$E$7=1,CONCATENATE("🌞 ➚ ",TEXT(S62,"hh:mm")," ","➘ ",TEXT(T62,"hh:mm")),CONCATENATE("☼ ➚ ",TEXT(S62,"hh:mm")," ","➘ ",TEXT(T62,"hh:mm")))</f>
        <v>🌞 ➚ 07:42 ➘ 18:25</v>
      </c>
    </row>
    <row r="63" spans="6:33" x14ac:dyDescent="0.2">
      <c r="F63" s="198">
        <f t="shared" si="11"/>
        <v>44252</v>
      </c>
      <c r="G63" s="199">
        <f t="shared" si="12"/>
        <v>56</v>
      </c>
      <c r="H63" s="200">
        <f t="shared" si="1"/>
        <v>52.193600000000004</v>
      </c>
      <c r="I63" s="200">
        <f t="shared" si="13"/>
        <v>1.5315984211628828</v>
      </c>
      <c r="J63" s="200">
        <f t="shared" si="2"/>
        <v>336.72519842116287</v>
      </c>
      <c r="K63" s="200">
        <f t="shared" si="14"/>
        <v>1.7373196208798145</v>
      </c>
      <c r="L63" s="201">
        <f t="shared" si="15"/>
        <v>13.07567216817079</v>
      </c>
      <c r="M63" s="202">
        <f t="shared" si="16"/>
        <v>0.54481967367378292</v>
      </c>
      <c r="N63" s="203">
        <f t="shared" si="17"/>
        <v>-9.043674751564037</v>
      </c>
      <c r="O63" s="200">
        <f t="shared" si="3"/>
        <v>80.804747059974218</v>
      </c>
      <c r="P63" s="200">
        <f t="shared" si="4"/>
        <v>5.3869831373316144</v>
      </c>
      <c r="Q63" s="200">
        <f t="shared" si="5"/>
        <v>6.6130168626683856</v>
      </c>
      <c r="R63" s="200">
        <f t="shared" si="6"/>
        <v>17.386983137331615</v>
      </c>
      <c r="S63" s="204">
        <f t="shared" si="7"/>
        <v>0.31944444444444448</v>
      </c>
      <c r="T63" s="204">
        <f t="shared" si="8"/>
        <v>0.76874999999999993</v>
      </c>
      <c r="U63" s="205" t="str">
        <f t="shared" si="10"/>
        <v>H</v>
      </c>
      <c r="V63" s="272">
        <f t="shared" si="9"/>
        <v>1</v>
      </c>
      <c r="W63" s="207" t="str">
        <f>IF(Introduction!$E$7=1,CONCATENATE("🌞 ➚ ",TEXT(S63,"hh:mm")," ","➘ ",TEXT(T63,"hh:mm")),CONCATENATE("☼ ➚ ",TEXT(S63,"hh:mm")," ","➘ ",TEXT(T63,"hh:mm")))</f>
        <v>🌞 ➚ 07:40 ➘ 18:27</v>
      </c>
    </row>
    <row r="64" spans="6:33" x14ac:dyDescent="0.2">
      <c r="F64" s="198">
        <f t="shared" si="11"/>
        <v>44253</v>
      </c>
      <c r="G64" s="199">
        <f t="shared" si="12"/>
        <v>57</v>
      </c>
      <c r="H64" s="200">
        <f t="shared" si="1"/>
        <v>53.17919999999998</v>
      </c>
      <c r="I64" s="200">
        <f t="shared" si="13"/>
        <v>1.5513738938954842</v>
      </c>
      <c r="J64" s="200">
        <f t="shared" si="2"/>
        <v>337.73057389389544</v>
      </c>
      <c r="K64" s="200">
        <f t="shared" si="14"/>
        <v>1.6766414065591824</v>
      </c>
      <c r="L64" s="201">
        <f t="shared" si="15"/>
        <v>12.912061201818666</v>
      </c>
      <c r="M64" s="202">
        <f t="shared" si="16"/>
        <v>0.5380025500757778</v>
      </c>
      <c r="N64" s="203">
        <f t="shared" si="17"/>
        <v>-8.6704646633984499</v>
      </c>
      <c r="O64" s="200">
        <f t="shared" si="3"/>
        <v>81.246393660281342</v>
      </c>
      <c r="P64" s="200">
        <f t="shared" si="4"/>
        <v>5.4164262440187558</v>
      </c>
      <c r="Q64" s="200">
        <f t="shared" si="5"/>
        <v>6.5835737559812442</v>
      </c>
      <c r="R64" s="200">
        <f t="shared" si="6"/>
        <v>17.416426244018755</v>
      </c>
      <c r="S64" s="204">
        <f t="shared" si="7"/>
        <v>0.31875000000000003</v>
      </c>
      <c r="T64" s="204">
        <f t="shared" si="8"/>
        <v>0.76944444444444438</v>
      </c>
      <c r="U64" s="205" t="str">
        <f t="shared" si="10"/>
        <v>H</v>
      </c>
      <c r="V64" s="272">
        <f t="shared" si="9"/>
        <v>1</v>
      </c>
      <c r="W64" s="207" t="str">
        <f>IF(Introduction!$E$7=1,CONCATENATE("🌞 ➚ ",TEXT(S64,"hh:mm")," ","➘ ",TEXT(T64,"hh:mm")),CONCATENATE("☼ ➚ ",TEXT(S64,"hh:mm")," ","➘ ",TEXT(T64,"hh:mm")))</f>
        <v>🌞 ➚ 07:39 ➘ 18:28</v>
      </c>
    </row>
    <row r="65" spans="6:23" x14ac:dyDescent="0.2">
      <c r="F65" s="198">
        <f t="shared" si="11"/>
        <v>44254</v>
      </c>
      <c r="G65" s="199">
        <f t="shared" si="12"/>
        <v>58</v>
      </c>
      <c r="H65" s="200">
        <f t="shared" si="1"/>
        <v>54.164800000000014</v>
      </c>
      <c r="I65" s="200">
        <f t="shared" si="13"/>
        <v>1.5706732809840986</v>
      </c>
      <c r="J65" s="200">
        <f t="shared" si="2"/>
        <v>338.73547328098414</v>
      </c>
      <c r="K65" s="200">
        <f t="shared" si="14"/>
        <v>1.6141241931891392</v>
      </c>
      <c r="L65" s="201">
        <f t="shared" si="15"/>
        <v>12.739189896692952</v>
      </c>
      <c r="M65" s="202">
        <f t="shared" si="16"/>
        <v>0.53079957902887298</v>
      </c>
      <c r="N65" s="203">
        <f t="shared" si="17"/>
        <v>-8.2951157603833519</v>
      </c>
      <c r="O65" s="200">
        <f t="shared" si="3"/>
        <v>81.689216139801744</v>
      </c>
      <c r="P65" s="200">
        <f t="shared" si="4"/>
        <v>5.4459477426534493</v>
      </c>
      <c r="Q65" s="200">
        <f t="shared" si="5"/>
        <v>6.5540522573465507</v>
      </c>
      <c r="R65" s="200">
        <f t="shared" si="6"/>
        <v>17.445947742653448</v>
      </c>
      <c r="S65" s="204">
        <f t="shared" si="7"/>
        <v>0.31736111111111115</v>
      </c>
      <c r="T65" s="204">
        <f t="shared" si="8"/>
        <v>0.77083333333333337</v>
      </c>
      <c r="U65" s="205" t="str">
        <f t="shared" si="10"/>
        <v>H</v>
      </c>
      <c r="V65" s="272">
        <f t="shared" si="9"/>
        <v>1</v>
      </c>
      <c r="W65" s="207" t="str">
        <f>IF(Introduction!$E$7=1,CONCATENATE("🌞 ➚ ",TEXT(S65,"hh:mm")," ","➘ ",TEXT(T65,"hh:mm")),CONCATENATE("☼ ➚ ",TEXT(S65,"hh:mm")," ","➘ ",TEXT(T65,"hh:mm")))</f>
        <v>🌞 ➚ 07:37 ➘ 18:30</v>
      </c>
    </row>
    <row r="66" spans="6:23" x14ac:dyDescent="0.2">
      <c r="F66" s="198">
        <f t="shared" si="11"/>
        <v>44255</v>
      </c>
      <c r="G66" s="199">
        <f t="shared" si="12"/>
        <v>59</v>
      </c>
      <c r="H66" s="200">
        <f t="shared" si="1"/>
        <v>55.150399999999991</v>
      </c>
      <c r="I66" s="200">
        <f t="shared" si="13"/>
        <v>1.589491053793971</v>
      </c>
      <c r="J66" s="200">
        <f t="shared" si="2"/>
        <v>339.73989105379394</v>
      </c>
      <c r="K66" s="200">
        <f t="shared" si="14"/>
        <v>1.5498471529887936</v>
      </c>
      <c r="L66" s="201">
        <f t="shared" si="15"/>
        <v>12.557352827131059</v>
      </c>
      <c r="M66" s="202">
        <f t="shared" si="16"/>
        <v>0.52322303446379415</v>
      </c>
      <c r="N66" s="203">
        <f t="shared" si="17"/>
        <v>-7.9177393235383526</v>
      </c>
      <c r="O66" s="200">
        <f t="shared" si="3"/>
        <v>82.133132601830951</v>
      </c>
      <c r="P66" s="200">
        <f t="shared" si="4"/>
        <v>5.4755421734553966</v>
      </c>
      <c r="Q66" s="200">
        <f t="shared" si="5"/>
        <v>6.5244578265446034</v>
      </c>
      <c r="R66" s="200">
        <f t="shared" si="6"/>
        <v>17.475542173455395</v>
      </c>
      <c r="S66" s="204">
        <f t="shared" si="7"/>
        <v>0.31597222222222221</v>
      </c>
      <c r="T66" s="204">
        <f t="shared" si="8"/>
        <v>0.77222222222222225</v>
      </c>
      <c r="U66" s="205" t="str">
        <f t="shared" si="10"/>
        <v>H</v>
      </c>
      <c r="V66" s="272">
        <f t="shared" si="9"/>
        <v>1</v>
      </c>
      <c r="W66" s="207" t="str">
        <f>IF(Introduction!$E$7=1,CONCATENATE("🌞 ➚ ",TEXT(S66,"hh:mm")," ","➘ ",TEXT(T66,"hh:mm")),CONCATENATE("☼ ➚ ",TEXT(S66,"hh:mm")," ","➘ ",TEXT(T66,"hh:mm")))</f>
        <v>🌞 ➚ 07:35 ➘ 18:32</v>
      </c>
    </row>
    <row r="67" spans="6:23" x14ac:dyDescent="0.2">
      <c r="F67" s="198">
        <f t="shared" si="11"/>
        <v>44256</v>
      </c>
      <c r="G67" s="199">
        <f t="shared" si="12"/>
        <v>60</v>
      </c>
      <c r="H67" s="200">
        <f t="shared" si="1"/>
        <v>56.136000000000024</v>
      </c>
      <c r="I67" s="200">
        <f t="shared" si="13"/>
        <v>1.6078218461442315</v>
      </c>
      <c r="J67" s="200">
        <f t="shared" si="2"/>
        <v>340.74382184614427</v>
      </c>
      <c r="K67" s="200">
        <f t="shared" si="14"/>
        <v>1.4838905086754799</v>
      </c>
      <c r="L67" s="201">
        <f t="shared" si="15"/>
        <v>12.366849419278847</v>
      </c>
      <c r="M67" s="202">
        <f t="shared" si="16"/>
        <v>0.51528539246995197</v>
      </c>
      <c r="N67" s="203">
        <f t="shared" si="17"/>
        <v>-7.53844614958237</v>
      </c>
      <c r="O67" s="200">
        <f t="shared" si="3"/>
        <v>82.578064384978148</v>
      </c>
      <c r="P67" s="200">
        <f t="shared" si="4"/>
        <v>5.5052042923318769</v>
      </c>
      <c r="Q67" s="200">
        <f t="shared" si="5"/>
        <v>6.4947957076681231</v>
      </c>
      <c r="R67" s="200">
        <f t="shared" si="6"/>
        <v>17.505204292331875</v>
      </c>
      <c r="S67" s="204">
        <f t="shared" si="7"/>
        <v>0.31458333333333333</v>
      </c>
      <c r="T67" s="204">
        <f t="shared" si="8"/>
        <v>0.7729166666666667</v>
      </c>
      <c r="U67" s="205" t="str">
        <f t="shared" si="10"/>
        <v>H</v>
      </c>
      <c r="V67" s="272">
        <f t="shared" si="9"/>
        <v>1</v>
      </c>
      <c r="W67" s="207" t="str">
        <f>IF(Introduction!$E$7=1,CONCATENATE("🌞 ➚ ",TEXT(S67,"hh:mm")," ","➘ ",TEXT(T67,"hh:mm")),CONCATENATE("☼ ➚ ",TEXT(S67,"hh:mm")," ","➘ ",TEXT(T67,"hh:mm")))</f>
        <v>🌞 ➚ 07:33 ➘ 18:33</v>
      </c>
    </row>
    <row r="68" spans="6:23" x14ac:dyDescent="0.2">
      <c r="F68" s="198">
        <f t="shared" si="11"/>
        <v>44257</v>
      </c>
      <c r="G68" s="199">
        <f t="shared" si="12"/>
        <v>61</v>
      </c>
      <c r="H68" s="200">
        <f t="shared" si="1"/>
        <v>57.121600000000001</v>
      </c>
      <c r="I68" s="200">
        <f t="shared" si="13"/>
        <v>1.6256604556566649</v>
      </c>
      <c r="J68" s="200">
        <f t="shared" si="2"/>
        <v>341.74726045565666</v>
      </c>
      <c r="K68" s="200">
        <f t="shared" si="14"/>
        <v>1.4163354353434545</v>
      </c>
      <c r="L68" s="201">
        <f t="shared" si="15"/>
        <v>12.167983564000478</v>
      </c>
      <c r="M68" s="202">
        <f t="shared" si="16"/>
        <v>0.50699931516668661</v>
      </c>
      <c r="N68" s="203">
        <f t="shared" si="17"/>
        <v>-7.1573465412904564</v>
      </c>
      <c r="O68" s="200">
        <f t="shared" si="3"/>
        <v>83.023935917822726</v>
      </c>
      <c r="P68" s="200">
        <f t="shared" si="4"/>
        <v>5.5349290611881816</v>
      </c>
      <c r="Q68" s="200">
        <f t="shared" si="5"/>
        <v>6.4650709388118184</v>
      </c>
      <c r="R68" s="200">
        <f t="shared" si="6"/>
        <v>17.53492906118818</v>
      </c>
      <c r="S68" s="204">
        <f t="shared" si="7"/>
        <v>0.31319444444444444</v>
      </c>
      <c r="T68" s="204">
        <f t="shared" si="8"/>
        <v>0.77430555555555547</v>
      </c>
      <c r="U68" s="205" t="str">
        <f t="shared" si="10"/>
        <v>H</v>
      </c>
      <c r="V68" s="272">
        <f t="shared" si="9"/>
        <v>1</v>
      </c>
      <c r="W68" s="207" t="str">
        <f>IF(Introduction!$E$7=1,CONCATENATE("🌞 ➚ ",TEXT(S68,"hh:mm")," ","➘ ",TEXT(T68,"hh:mm")),CONCATENATE("☼ ➚ ",TEXT(S68,"hh:mm")," ","➘ ",TEXT(T68,"hh:mm")))</f>
        <v>🌞 ➚ 07:31 ➘ 18:35</v>
      </c>
    </row>
    <row r="69" spans="6:23" x14ac:dyDescent="0.2">
      <c r="F69" s="198">
        <f t="shared" si="11"/>
        <v>44258</v>
      </c>
      <c r="G69" s="199">
        <f t="shared" si="12"/>
        <v>62</v>
      </c>
      <c r="H69" s="200">
        <f t="shared" si="1"/>
        <v>58.107199999999978</v>
      </c>
      <c r="I69" s="200">
        <f t="shared" si="13"/>
        <v>1.64300184503271</v>
      </c>
      <c r="J69" s="200">
        <f t="shared" si="2"/>
        <v>342.75020184503268</v>
      </c>
      <c r="K69" s="200">
        <f t="shared" si="14"/>
        <v>1.3472639662839196</v>
      </c>
      <c r="L69" s="201">
        <f t="shared" si="15"/>
        <v>11.961063245266519</v>
      </c>
      <c r="M69" s="202">
        <f t="shared" si="16"/>
        <v>0.49837763521943829</v>
      </c>
      <c r="N69" s="203">
        <f t="shared" si="17"/>
        <v>-6.7745502997348446</v>
      </c>
      <c r="O69" s="200">
        <f t="shared" si="3"/>
        <v>83.470674572728555</v>
      </c>
      <c r="P69" s="200">
        <f t="shared" si="4"/>
        <v>5.5647116381819037</v>
      </c>
      <c r="Q69" s="200">
        <f t="shared" si="5"/>
        <v>6.4352883618180963</v>
      </c>
      <c r="R69" s="200">
        <f t="shared" si="6"/>
        <v>17.564711638181905</v>
      </c>
      <c r="S69" s="204">
        <f t="shared" si="7"/>
        <v>0.31180555555555556</v>
      </c>
      <c r="T69" s="204">
        <f t="shared" si="8"/>
        <v>0.77500000000000002</v>
      </c>
      <c r="U69" s="205" t="str">
        <f t="shared" si="10"/>
        <v>H</v>
      </c>
      <c r="V69" s="272">
        <f t="shared" si="9"/>
        <v>1</v>
      </c>
      <c r="W69" s="207" t="str">
        <f>IF(Introduction!$E$7=1,CONCATENATE("🌞 ➚ ",TEXT(S69,"hh:mm")," ","➘ ",TEXT(T69,"hh:mm")),CONCATENATE("☼ ➚ ",TEXT(S69,"hh:mm")," ","➘ ",TEXT(T69,"hh:mm")))</f>
        <v>🌞 ➚ 07:29 ➘ 18:36</v>
      </c>
    </row>
    <row r="70" spans="6:23" x14ac:dyDescent="0.2">
      <c r="F70" s="198">
        <f t="shared" si="11"/>
        <v>44259</v>
      </c>
      <c r="G70" s="199">
        <f t="shared" si="12"/>
        <v>63</v>
      </c>
      <c r="H70" s="200">
        <f t="shared" ref="H70:H133" si="21">MOD(357+0.9856*$G70,360)</f>
        <v>59.092800000000011</v>
      </c>
      <c r="I70" s="200">
        <f t="shared" si="13"/>
        <v>1.659841143258586</v>
      </c>
      <c r="J70" s="200">
        <f t="shared" ref="J70:J133" si="22">MOD(280+$I70+0.9856*$G70,360)</f>
        <v>343.75264114325859</v>
      </c>
      <c r="K70" s="200">
        <f t="shared" si="14"/>
        <v>1.2767589027755655</v>
      </c>
      <c r="L70" s="201">
        <f t="shared" si="15"/>
        <v>11.746400184136606</v>
      </c>
      <c r="M70" s="202">
        <f t="shared" si="16"/>
        <v>0.48943334100569191</v>
      </c>
      <c r="N70" s="203">
        <f t="shared" si="17"/>
        <v>-6.390166718316638</v>
      </c>
      <c r="O70" s="200">
        <f t="shared" ref="O70:O133" si="23">ACOS((-0.01454-SIN(PI()/180*$N70)*SIN(PI()/180*$L$2))/(COS(PI()/180*$N70)*COS(PI()/180*$L$2)))*180/PI()</f>
        <v>83.918210519108527</v>
      </c>
      <c r="P70" s="200">
        <f t="shared" ref="P70:P133" si="24">$O70/15</f>
        <v>5.5945473679405682</v>
      </c>
      <c r="Q70" s="200">
        <f t="shared" ref="Q70:Q133" si="25">12-$P70</f>
        <v>6.4054526320594318</v>
      </c>
      <c r="R70" s="200">
        <f t="shared" ref="R70:R133" si="26">12+$P70</f>
        <v>17.594547367940567</v>
      </c>
      <c r="S70" s="204">
        <f t="shared" ref="S70:S133" si="27">(TRUNC($Q70+$L70/60+$L$3*4/60+$V70)+ROUND((($Q70+$L70/60+$L$3*4/60+$V70)-TRUNC($Q70+$L70/60+$L$3*4/60+$V70))*60,0)/60)/24</f>
        <v>0.31041666666666667</v>
      </c>
      <c r="T70" s="204">
        <f t="shared" ref="T70:T133" si="28">(TRUNC($R70+$L70/60+$L$3*4/60+$V70)+ROUND((($R70+$L70/60+$L$3*4/60+$V70)-TRUNC($R70+$L70/60+$L$3*4/60+$V70))*60,0)/60)/24</f>
        <v>0.77638888888888891</v>
      </c>
      <c r="U70" s="205" t="str">
        <f t="shared" si="10"/>
        <v>H</v>
      </c>
      <c r="V70" s="272">
        <f t="shared" si="9"/>
        <v>1</v>
      </c>
      <c r="W70" s="207" t="str">
        <f>IF(Introduction!$E$7=1,CONCATENATE("🌞 ➚ ",TEXT(S70,"hh:mm")," ","➘ ",TEXT(T70,"hh:mm")),CONCATENATE("☼ ➚ ",TEXT(S70,"hh:mm")," ","➘ ",TEXT(T70,"hh:mm")))</f>
        <v>🌞 ➚ 07:27 ➘ 18:38</v>
      </c>
    </row>
    <row r="71" spans="6:23" x14ac:dyDescent="0.2">
      <c r="F71" s="198">
        <f t="shared" si="11"/>
        <v>44260</v>
      </c>
      <c r="G71" s="199">
        <f t="shared" si="12"/>
        <v>64</v>
      </c>
      <c r="H71" s="200">
        <f t="shared" si="21"/>
        <v>60.078399999999988</v>
      </c>
      <c r="I71" s="200">
        <f t="shared" si="13"/>
        <v>1.6761736467385484</v>
      </c>
      <c r="J71" s="200">
        <f t="shared" si="22"/>
        <v>344.75457364673855</v>
      </c>
      <c r="K71" s="200">
        <f t="shared" si="14"/>
        <v>1.204903727845736</v>
      </c>
      <c r="L71" s="201">
        <f t="shared" si="15"/>
        <v>11.524309498337137</v>
      </c>
      <c r="M71" s="202">
        <f t="shared" si="16"/>
        <v>0.48017956243071408</v>
      </c>
      <c r="N71" s="203">
        <f t="shared" si="17"/>
        <v>-6.0043045784933948</v>
      </c>
      <c r="O71" s="200">
        <f t="shared" si="23"/>
        <v>84.366476576400487</v>
      </c>
      <c r="P71" s="200">
        <f t="shared" si="24"/>
        <v>5.6244317717600323</v>
      </c>
      <c r="Q71" s="200">
        <f t="shared" si="25"/>
        <v>6.3755682282399677</v>
      </c>
      <c r="R71" s="200">
        <f t="shared" si="26"/>
        <v>17.624431771760033</v>
      </c>
      <c r="S71" s="204">
        <f t="shared" si="27"/>
        <v>0.30902777777777779</v>
      </c>
      <c r="T71" s="204">
        <f t="shared" si="28"/>
        <v>0.77777777777777779</v>
      </c>
      <c r="U71" s="205" t="str">
        <f t="shared" si="10"/>
        <v>H</v>
      </c>
      <c r="V71" s="272">
        <f t="shared" ref="V71:V134" si="29">IF(U71="H",$AC$6,$AC$7)</f>
        <v>1</v>
      </c>
      <c r="W71" s="207" t="str">
        <f>IF(Introduction!$E$7=1,CONCATENATE("🌞 ➚ ",TEXT(S71,"hh:mm")," ","➘ ",TEXT(T71,"hh:mm")),CONCATENATE("☼ ➚ ",TEXT(S71,"hh:mm")," ","➘ ",TEXT(T71,"hh:mm")))</f>
        <v>🌞 ➚ 07:25 ➘ 18:40</v>
      </c>
    </row>
    <row r="72" spans="6:23" x14ac:dyDescent="0.2">
      <c r="F72" s="198">
        <f t="shared" si="11"/>
        <v>44261</v>
      </c>
      <c r="G72" s="199">
        <f t="shared" si="12"/>
        <v>65</v>
      </c>
      <c r="H72" s="200">
        <f t="shared" si="21"/>
        <v>61.064000000000021</v>
      </c>
      <c r="I72" s="200">
        <f t="shared" si="13"/>
        <v>1.6919948203563016</v>
      </c>
      <c r="J72" s="200">
        <f t="shared" si="22"/>
        <v>345.75599482035631</v>
      </c>
      <c r="K72" s="200">
        <f t="shared" si="14"/>
        <v>1.131782523974566</v>
      </c>
      <c r="L72" s="201">
        <f t="shared" si="15"/>
        <v>11.29510937732347</v>
      </c>
      <c r="M72" s="202">
        <f t="shared" si="16"/>
        <v>0.47062955738847795</v>
      </c>
      <c r="N72" s="203">
        <f t="shared" si="17"/>
        <v>-5.6170721471093463</v>
      </c>
      <c r="O72" s="200">
        <f t="shared" si="23"/>
        <v>84.81540806698176</v>
      </c>
      <c r="P72" s="200">
        <f t="shared" si="24"/>
        <v>5.6543605377987838</v>
      </c>
      <c r="Q72" s="200">
        <f t="shared" si="25"/>
        <v>6.3456394622012162</v>
      </c>
      <c r="R72" s="200">
        <f t="shared" si="26"/>
        <v>17.654360537798784</v>
      </c>
      <c r="S72" s="204">
        <f t="shared" si="27"/>
        <v>0.30763888888888891</v>
      </c>
      <c r="T72" s="204">
        <f t="shared" si="28"/>
        <v>0.77847222222222223</v>
      </c>
      <c r="U72" s="205" t="str">
        <f t="shared" ref="U72:U135" si="30">IF(YEAR($F72)=$AA$5,IF(AND($F72&gt;=$AA$6,$F72&lt;$AA$7),"E",IF(AND($F72&gt;=$AA$6,$F72&lt;$AA$7),"E","H")),IF(AND($F72&gt;=$AB$6,$F72&lt;$AB$7),"E",IF(AND($F72&gt;=$AB$6,$F72&lt;$AB$7),"E","H")))</f>
        <v>H</v>
      </c>
      <c r="V72" s="272">
        <f t="shared" si="29"/>
        <v>1</v>
      </c>
      <c r="W72" s="207" t="str">
        <f>IF(Introduction!$E$7=1,CONCATENATE("🌞 ➚ ",TEXT(S72,"hh:mm")," ","➘ ",TEXT(T72,"hh:mm")),CONCATENATE("☼ ➚ ",TEXT(S72,"hh:mm")," ","➘ ",TEXT(T72,"hh:mm")))</f>
        <v>🌞 ➚ 07:23 ➘ 18:41</v>
      </c>
    </row>
    <row r="73" spans="6:23" x14ac:dyDescent="0.2">
      <c r="F73" s="198">
        <f t="shared" si="11"/>
        <v>44262</v>
      </c>
      <c r="G73" s="199">
        <f t="shared" ref="G73:G136" si="31">F73-DATE(YEAR(F73),1,0)</f>
        <v>66</v>
      </c>
      <c r="H73" s="200">
        <f t="shared" si="21"/>
        <v>62.049599999999998</v>
      </c>
      <c r="I73" s="200">
        <f t="shared" ref="I73:I136" si="32">1.914*SIN(PI()/180*$H73)+0.02*SIN(PI()/180*2*$H73)</f>
        <v>1.7073002984646306</v>
      </c>
      <c r="J73" s="200">
        <f t="shared" si="22"/>
        <v>346.75690029846464</v>
      </c>
      <c r="K73" s="200">
        <f t="shared" ref="K73:K136" si="33">-2.466*SIN(PI()/180*2*$J73)+0.053*SIN(PI()/180*4*$J73)</f>
        <v>1.0574798946876347</v>
      </c>
      <c r="L73" s="201">
        <f t="shared" ref="L73:L136" si="34">($I73+$K73)*4</f>
        <v>11.059120772609061</v>
      </c>
      <c r="M73" s="202">
        <f t="shared" ref="M73:M136" si="35">ABS($L73)/24</f>
        <v>0.46079669885871088</v>
      </c>
      <c r="N73" s="203">
        <f t="shared" ref="N73:N136" si="36">ASIN(0.3978*SIN(PI()/180*$J73))*180/PI()</f>
        <v>-5.2285771752360981</v>
      </c>
      <c r="O73" s="200">
        <f t="shared" si="23"/>
        <v>85.264942669220119</v>
      </c>
      <c r="P73" s="200">
        <f t="shared" si="24"/>
        <v>5.6843295112813417</v>
      </c>
      <c r="Q73" s="200">
        <f t="shared" si="25"/>
        <v>6.3156704887186583</v>
      </c>
      <c r="R73" s="200">
        <f t="shared" si="26"/>
        <v>17.684329511281341</v>
      </c>
      <c r="S73" s="204">
        <f t="shared" si="27"/>
        <v>0.30624999999999997</v>
      </c>
      <c r="T73" s="204">
        <f t="shared" si="28"/>
        <v>0.77986111111111101</v>
      </c>
      <c r="U73" s="205" t="str">
        <f t="shared" si="30"/>
        <v>H</v>
      </c>
      <c r="V73" s="272">
        <f t="shared" si="29"/>
        <v>1</v>
      </c>
      <c r="W73" s="207" t="str">
        <f>IF(Introduction!$E$7=1,CONCATENATE("🌞 ➚ ",TEXT(S73,"hh:mm")," ","➘ ",TEXT(T73,"hh:mm")),CONCATENATE("☼ ➚ ",TEXT(S73,"hh:mm")," ","➘ ",TEXT(T73,"hh:mm")))</f>
        <v>🌞 ➚ 07:21 ➘ 18:43</v>
      </c>
    </row>
    <row r="74" spans="6:23" x14ac:dyDescent="0.2">
      <c r="F74" s="198">
        <f t="shared" ref="F74:F137" si="37">F73+1</f>
        <v>44263</v>
      </c>
      <c r="G74" s="199">
        <f t="shared" si="31"/>
        <v>67</v>
      </c>
      <c r="H74" s="200">
        <f t="shared" si="21"/>
        <v>63.035200000000032</v>
      </c>
      <c r="I74" s="200">
        <f t="shared" si="32"/>
        <v>1.7220858858033998</v>
      </c>
      <c r="J74" s="200">
        <f t="shared" si="22"/>
        <v>347.75728588580341</v>
      </c>
      <c r="K74" s="200">
        <f t="shared" si="33"/>
        <v>0.98208088995702403</v>
      </c>
      <c r="L74" s="201">
        <f t="shared" si="34"/>
        <v>10.816667103041695</v>
      </c>
      <c r="M74" s="202">
        <f t="shared" si="35"/>
        <v>0.45069446262673729</v>
      </c>
      <c r="N74" s="203">
        <f t="shared" si="36"/>
        <v>-4.8389268984322946</v>
      </c>
      <c r="O74" s="200">
        <f t="shared" si="23"/>
        <v>85.715020270830706</v>
      </c>
      <c r="P74" s="200">
        <f t="shared" si="24"/>
        <v>5.7143346847220471</v>
      </c>
      <c r="Q74" s="200">
        <f t="shared" si="25"/>
        <v>6.2856653152779529</v>
      </c>
      <c r="R74" s="200">
        <f t="shared" si="26"/>
        <v>17.714334684722047</v>
      </c>
      <c r="S74" s="204">
        <f t="shared" si="27"/>
        <v>0.30486111111111108</v>
      </c>
      <c r="T74" s="204">
        <f t="shared" si="28"/>
        <v>0.78055555555555556</v>
      </c>
      <c r="U74" s="205" t="str">
        <f t="shared" si="30"/>
        <v>H</v>
      </c>
      <c r="V74" s="272">
        <f t="shared" si="29"/>
        <v>1</v>
      </c>
      <c r="W74" s="207" t="str">
        <f>IF(Introduction!$E$7=1,CONCATENATE("🌞 ➚ ",TEXT(S74,"hh:mm")," ","➘ ",TEXT(T74,"hh:mm")),CONCATENATE("☼ ➚ ",TEXT(S74,"hh:mm")," ","➘ ",TEXT(T74,"hh:mm")))</f>
        <v>🌞 ➚ 07:19 ➘ 18:44</v>
      </c>
    </row>
    <row r="75" spans="6:23" x14ac:dyDescent="0.2">
      <c r="F75" s="198">
        <f t="shared" si="37"/>
        <v>44264</v>
      </c>
      <c r="G75" s="199">
        <f t="shared" si="31"/>
        <v>68</v>
      </c>
      <c r="H75" s="200">
        <f t="shared" si="21"/>
        <v>64.020800000000008</v>
      </c>
      <c r="I75" s="200">
        <f t="shared" si="32"/>
        <v>1.7363475583460628</v>
      </c>
      <c r="J75" s="200">
        <f t="shared" si="22"/>
        <v>348.75714755834605</v>
      </c>
      <c r="K75" s="200">
        <f t="shared" si="33"/>
        <v>0.90567093530642306</v>
      </c>
      <c r="L75" s="201">
        <f t="shared" si="34"/>
        <v>10.568073974609943</v>
      </c>
      <c r="M75" s="202">
        <f t="shared" si="35"/>
        <v>0.44033641560874764</v>
      </c>
      <c r="N75" s="203">
        <f t="shared" si="36"/>
        <v>-4.4482280383322754</v>
      </c>
      <c r="O75" s="200">
        <f t="shared" si="23"/>
        <v>86.165582822682765</v>
      </c>
      <c r="P75" s="200">
        <f t="shared" si="24"/>
        <v>5.7443721881788514</v>
      </c>
      <c r="Q75" s="200">
        <f t="shared" si="25"/>
        <v>6.2556278118211486</v>
      </c>
      <c r="R75" s="200">
        <f t="shared" si="26"/>
        <v>17.744372188178851</v>
      </c>
      <c r="S75" s="204">
        <f t="shared" si="27"/>
        <v>0.30277777777777776</v>
      </c>
      <c r="T75" s="204">
        <f t="shared" si="28"/>
        <v>0.78194444444444444</v>
      </c>
      <c r="U75" s="205" t="str">
        <f t="shared" si="30"/>
        <v>H</v>
      </c>
      <c r="V75" s="272">
        <f t="shared" si="29"/>
        <v>1</v>
      </c>
      <c r="W75" s="207" t="str">
        <f>IF(Introduction!$E$7=1,CONCATENATE("🌞 ➚ ",TEXT(S75,"hh:mm")," ","➘ ",TEXT(T75,"hh:mm")),CONCATENATE("☼ ➚ ",TEXT(S75,"hh:mm")," ","➘ ",TEXT(T75,"hh:mm")))</f>
        <v>🌞 ➚ 07:16 ➘ 18:46</v>
      </c>
    </row>
    <row r="76" spans="6:23" x14ac:dyDescent="0.2">
      <c r="F76" s="198">
        <f t="shared" si="37"/>
        <v>44265</v>
      </c>
      <c r="G76" s="199">
        <f t="shared" si="31"/>
        <v>69</v>
      </c>
      <c r="H76" s="200">
        <f t="shared" si="21"/>
        <v>65.006399999999985</v>
      </c>
      <c r="I76" s="200">
        <f t="shared" si="32"/>
        <v>1.7500814640749272</v>
      </c>
      <c r="J76" s="200">
        <f t="shared" si="22"/>
        <v>349.75648146407491</v>
      </c>
      <c r="K76" s="200">
        <f t="shared" si="33"/>
        <v>0.82833576449302015</v>
      </c>
      <c r="L76" s="201">
        <f t="shared" si="34"/>
        <v>10.313668914271789</v>
      </c>
      <c r="M76" s="202">
        <f t="shared" si="35"/>
        <v>0.42973620476132451</v>
      </c>
      <c r="N76" s="203">
        <f t="shared" si="36"/>
        <v>-4.0565868054745629</v>
      </c>
      <c r="O76" s="200">
        <f t="shared" si="23"/>
        <v>86.616574193176334</v>
      </c>
      <c r="P76" s="200">
        <f t="shared" si="24"/>
        <v>5.7744382795450893</v>
      </c>
      <c r="Q76" s="200">
        <f t="shared" si="25"/>
        <v>6.2255617204549107</v>
      </c>
      <c r="R76" s="200">
        <f t="shared" si="26"/>
        <v>17.774438279545087</v>
      </c>
      <c r="S76" s="204">
        <f t="shared" si="27"/>
        <v>0.30138888888888887</v>
      </c>
      <c r="T76" s="204">
        <f t="shared" si="28"/>
        <v>0.78263888888888899</v>
      </c>
      <c r="U76" s="205" t="str">
        <f t="shared" si="30"/>
        <v>H</v>
      </c>
      <c r="V76" s="272">
        <f t="shared" si="29"/>
        <v>1</v>
      </c>
      <c r="W76" s="207" t="str">
        <f>IF(Introduction!$E$7=1,CONCATENATE("🌞 ➚ ",TEXT(S76,"hh:mm")," ","➘ ",TEXT(T76,"hh:mm")),CONCATENATE("☼ ➚ ",TEXT(S76,"hh:mm")," ","➘ ",TEXT(T76,"hh:mm")))</f>
        <v>🌞 ➚ 07:14 ➘ 18:47</v>
      </c>
    </row>
    <row r="77" spans="6:23" x14ac:dyDescent="0.2">
      <c r="F77" s="198">
        <f t="shared" si="37"/>
        <v>44266</v>
      </c>
      <c r="G77" s="199">
        <f t="shared" si="31"/>
        <v>70</v>
      </c>
      <c r="H77" s="200">
        <f t="shared" si="21"/>
        <v>65.992000000000019</v>
      </c>
      <c r="I77" s="200">
        <f t="shared" si="32"/>
        <v>1.763283923685411</v>
      </c>
      <c r="J77" s="200">
        <f t="shared" si="22"/>
        <v>350.75528392368545</v>
      </c>
      <c r="K77" s="200">
        <f t="shared" si="33"/>
        <v>0.75016135561774422</v>
      </c>
      <c r="L77" s="201">
        <f t="shared" si="34"/>
        <v>10.053781117212621</v>
      </c>
      <c r="M77" s="202">
        <f t="shared" si="35"/>
        <v>0.41890754655052587</v>
      </c>
      <c r="N77" s="203">
        <f t="shared" si="36"/>
        <v>-3.6641089032831324</v>
      </c>
      <c r="O77" s="200">
        <f t="shared" si="23"/>
        <v>87.067940023286525</v>
      </c>
      <c r="P77" s="200">
        <f t="shared" si="24"/>
        <v>5.8045293348857685</v>
      </c>
      <c r="Q77" s="200">
        <f t="shared" si="25"/>
        <v>6.1954706651142315</v>
      </c>
      <c r="R77" s="200">
        <f t="shared" si="26"/>
        <v>17.804529334885768</v>
      </c>
      <c r="S77" s="204">
        <f t="shared" si="27"/>
        <v>0.3</v>
      </c>
      <c r="T77" s="204">
        <f t="shared" si="28"/>
        <v>0.78402777777777777</v>
      </c>
      <c r="U77" s="205" t="str">
        <f t="shared" si="30"/>
        <v>H</v>
      </c>
      <c r="V77" s="272">
        <f t="shared" si="29"/>
        <v>1</v>
      </c>
      <c r="W77" s="207" t="str">
        <f>IF(Introduction!$E$7=1,CONCATENATE("🌞 ➚ ",TEXT(S77,"hh:mm")," ","➘ ",TEXT(T77,"hh:mm")),CONCATENATE("☼ ➚ ",TEXT(S77,"hh:mm")," ","➘ ",TEXT(T77,"hh:mm")))</f>
        <v>🌞 ➚ 07:12 ➘ 18:49</v>
      </c>
    </row>
    <row r="78" spans="6:23" x14ac:dyDescent="0.2">
      <c r="F78" s="198">
        <f t="shared" si="37"/>
        <v>44267</v>
      </c>
      <c r="G78" s="199">
        <f t="shared" si="31"/>
        <v>71</v>
      </c>
      <c r="H78" s="200">
        <f t="shared" si="21"/>
        <v>66.977599999999995</v>
      </c>
      <c r="I78" s="200">
        <f t="shared" si="32"/>
        <v>1.7759514312196163</v>
      </c>
      <c r="J78" s="200">
        <f t="shared" si="22"/>
        <v>351.75355143121959</v>
      </c>
      <c r="K78" s="200">
        <f t="shared" si="33"/>
        <v>0.67123387049559935</v>
      </c>
      <c r="L78" s="201">
        <f t="shared" si="34"/>
        <v>9.7887412068608626</v>
      </c>
      <c r="M78" s="202">
        <f t="shared" si="35"/>
        <v>0.40786421695253594</v>
      </c>
      <c r="N78" s="203">
        <f t="shared" si="36"/>
        <v>-3.27089953311489</v>
      </c>
      <c r="O78" s="200">
        <f t="shared" si="23"/>
        <v>87.519627582353223</v>
      </c>
      <c r="P78" s="200">
        <f t="shared" si="24"/>
        <v>5.8346418388235479</v>
      </c>
      <c r="Q78" s="200">
        <f t="shared" si="25"/>
        <v>6.1653581611764521</v>
      </c>
      <c r="R78" s="200">
        <f t="shared" si="26"/>
        <v>17.834641838823547</v>
      </c>
      <c r="S78" s="204">
        <f t="shared" si="27"/>
        <v>0.2986111111111111</v>
      </c>
      <c r="T78" s="204">
        <f t="shared" si="28"/>
        <v>0.78472222222222221</v>
      </c>
      <c r="U78" s="205" t="str">
        <f t="shared" si="30"/>
        <v>H</v>
      </c>
      <c r="V78" s="272">
        <f t="shared" si="29"/>
        <v>1</v>
      </c>
      <c r="W78" s="207" t="str">
        <f>IF(Introduction!$E$7=1,CONCATENATE("🌞 ➚ ",TEXT(S78,"hh:mm")," ","➘ ",TEXT(T78,"hh:mm")),CONCATENATE("☼ ➚ ",TEXT(S78,"hh:mm")," ","➘ ",TEXT(T78,"hh:mm")))</f>
        <v>🌞 ➚ 07:10 ➘ 18:50</v>
      </c>
    </row>
    <row r="79" spans="6:23" x14ac:dyDescent="0.2">
      <c r="F79" s="198">
        <f t="shared" si="37"/>
        <v>44268</v>
      </c>
      <c r="G79" s="199">
        <f t="shared" si="31"/>
        <v>72</v>
      </c>
      <c r="H79" s="200">
        <f t="shared" si="21"/>
        <v>67.963200000000029</v>
      </c>
      <c r="I79" s="200">
        <f t="shared" si="32"/>
        <v>1.7880806546295669</v>
      </c>
      <c r="J79" s="200">
        <f t="shared" si="22"/>
        <v>352.75128065462957</v>
      </c>
      <c r="K79" s="200">
        <f t="shared" si="33"/>
        <v>0.59163959709991032</v>
      </c>
      <c r="L79" s="201">
        <f t="shared" si="34"/>
        <v>9.5188810069179084</v>
      </c>
      <c r="M79" s="202">
        <f t="shared" si="35"/>
        <v>0.39662004195491285</v>
      </c>
      <c r="N79" s="203">
        <f t="shared" si="36"/>
        <v>-2.8770634002884385</v>
      </c>
      <c r="O79" s="200">
        <f t="shared" si="23"/>
        <v>87.971585624676933</v>
      </c>
      <c r="P79" s="200">
        <f t="shared" si="24"/>
        <v>5.8647723749784619</v>
      </c>
      <c r="Q79" s="200">
        <f t="shared" si="25"/>
        <v>6.1352276250215381</v>
      </c>
      <c r="R79" s="200">
        <f t="shared" si="26"/>
        <v>17.864772374978461</v>
      </c>
      <c r="S79" s="204">
        <f t="shared" si="27"/>
        <v>0.29722222222222222</v>
      </c>
      <c r="T79" s="204">
        <f t="shared" si="28"/>
        <v>0.78611111111111109</v>
      </c>
      <c r="U79" s="205" t="str">
        <f t="shared" si="30"/>
        <v>H</v>
      </c>
      <c r="V79" s="272">
        <f t="shared" si="29"/>
        <v>1</v>
      </c>
      <c r="W79" s="207" t="str">
        <f>IF(Introduction!$E$7=1,CONCATENATE("🌞 ➚ ",TEXT(S79,"hh:mm")," ","➘ ",TEXT(T79,"hh:mm")),CONCATENATE("☼ ➚ ",TEXT(S79,"hh:mm")," ","➘ ",TEXT(T79,"hh:mm")))</f>
        <v>🌞 ➚ 07:08 ➘ 18:52</v>
      </c>
    </row>
    <row r="80" spans="6:23" x14ac:dyDescent="0.2">
      <c r="F80" s="198">
        <f t="shared" si="37"/>
        <v>44269</v>
      </c>
      <c r="G80" s="199">
        <f t="shared" si="31"/>
        <v>73</v>
      </c>
      <c r="H80" s="200">
        <f t="shared" si="21"/>
        <v>68.948800000000006</v>
      </c>
      <c r="I80" s="200">
        <f t="shared" si="32"/>
        <v>1.7996684362704951</v>
      </c>
      <c r="J80" s="200">
        <f t="shared" si="22"/>
        <v>353.74846843627051</v>
      </c>
      <c r="K80" s="200">
        <f t="shared" si="33"/>
        <v>0.51146489487835256</v>
      </c>
      <c r="L80" s="201">
        <f t="shared" si="34"/>
        <v>9.2445333245953911</v>
      </c>
      <c r="M80" s="202">
        <f t="shared" si="35"/>
        <v>0.38518888852480798</v>
      </c>
      <c r="N80" s="203">
        <f t="shared" si="36"/>
        <v>-2.482704721011717</v>
      </c>
      <c r="O80" s="200">
        <f t="shared" si="23"/>
        <v>88.42376424696252</v>
      </c>
      <c r="P80" s="200">
        <f t="shared" si="24"/>
        <v>5.8949176164641681</v>
      </c>
      <c r="Q80" s="200">
        <f t="shared" si="25"/>
        <v>6.1050823835358319</v>
      </c>
      <c r="R80" s="200">
        <f t="shared" si="26"/>
        <v>17.89491761646417</v>
      </c>
      <c r="S80" s="204">
        <f t="shared" si="27"/>
        <v>0.29583333333333334</v>
      </c>
      <c r="T80" s="204">
        <f t="shared" si="28"/>
        <v>0.78749999999999998</v>
      </c>
      <c r="U80" s="205" t="str">
        <f t="shared" si="30"/>
        <v>H</v>
      </c>
      <c r="V80" s="272">
        <f t="shared" si="29"/>
        <v>1</v>
      </c>
      <c r="W80" s="207" t="str">
        <f>IF(Introduction!$E$7=1,CONCATENATE("🌞 ➚ ",TEXT(S80,"hh:mm")," ","➘ ",TEXT(T80,"hh:mm")),CONCATENATE("☼ ➚ ",TEXT(S80,"hh:mm")," ","➘ ",TEXT(T80,"hh:mm")))</f>
        <v>🌞 ➚ 07:06 ➘ 18:54</v>
      </c>
    </row>
    <row r="81" spans="6:23" x14ac:dyDescent="0.2">
      <c r="F81" s="198">
        <f t="shared" si="37"/>
        <v>44270</v>
      </c>
      <c r="G81" s="199">
        <f t="shared" si="31"/>
        <v>74</v>
      </c>
      <c r="H81" s="200">
        <f t="shared" si="21"/>
        <v>69.934399999999982</v>
      </c>
      <c r="I81" s="200">
        <f t="shared" si="32"/>
        <v>1.8107117933246299</v>
      </c>
      <c r="J81" s="200">
        <f t="shared" si="22"/>
        <v>354.74511179332461</v>
      </c>
      <c r="K81" s="200">
        <f t="shared" si="33"/>
        <v>0.4307961427238845</v>
      </c>
      <c r="L81" s="201">
        <f t="shared" si="34"/>
        <v>8.9660317441940585</v>
      </c>
      <c r="M81" s="202">
        <f t="shared" si="35"/>
        <v>0.37358465600808577</v>
      </c>
      <c r="N81" s="203">
        <f t="shared" si="36"/>
        <v>-2.0879272301254077</v>
      </c>
      <c r="O81" s="200">
        <f t="shared" si="23"/>
        <v>88.876114746640596</v>
      </c>
      <c r="P81" s="200">
        <f t="shared" si="24"/>
        <v>5.9250743164427062</v>
      </c>
      <c r="Q81" s="200">
        <f t="shared" si="25"/>
        <v>6.0749256835572938</v>
      </c>
      <c r="R81" s="200">
        <f t="shared" si="26"/>
        <v>17.925074316442707</v>
      </c>
      <c r="S81" s="204">
        <f t="shared" si="27"/>
        <v>0.29444444444444445</v>
      </c>
      <c r="T81" s="204">
        <f t="shared" si="28"/>
        <v>0.78819444444444453</v>
      </c>
      <c r="U81" s="205" t="str">
        <f t="shared" si="30"/>
        <v>H</v>
      </c>
      <c r="V81" s="272">
        <f t="shared" si="29"/>
        <v>1</v>
      </c>
      <c r="W81" s="207" t="str">
        <f>IF(Introduction!$E$7=1,CONCATENATE("🌞 ➚ ",TEXT(S81,"hh:mm")," ","➘ ",TEXT(T81,"hh:mm")),CONCATENATE("☼ ➚ ",TEXT(S81,"hh:mm")," ","➘ ",TEXT(T81,"hh:mm")))</f>
        <v>🌞 ➚ 07:04 ➘ 18:55</v>
      </c>
    </row>
    <row r="82" spans="6:23" x14ac:dyDescent="0.2">
      <c r="F82" s="198">
        <f t="shared" si="37"/>
        <v>44271</v>
      </c>
      <c r="G82" s="199">
        <f t="shared" si="31"/>
        <v>75</v>
      </c>
      <c r="H82" s="200">
        <f t="shared" si="21"/>
        <v>70.920000000000016</v>
      </c>
      <c r="I82" s="200">
        <f t="shared" si="32"/>
        <v>1.8212079181559533</v>
      </c>
      <c r="J82" s="200">
        <f t="shared" si="22"/>
        <v>355.74120791815596</v>
      </c>
      <c r="K82" s="200">
        <f t="shared" si="33"/>
        <v>0.34971968937167347</v>
      </c>
      <c r="L82" s="201">
        <f t="shared" si="34"/>
        <v>8.6837104301105068</v>
      </c>
      <c r="M82" s="202">
        <f t="shared" si="35"/>
        <v>0.36182126792127112</v>
      </c>
      <c r="N82" s="203">
        <f t="shared" si="36"/>
        <v>-1.692834189582497</v>
      </c>
      <c r="O82" s="200">
        <f t="shared" si="23"/>
        <v>89.328589481081934</v>
      </c>
      <c r="P82" s="200">
        <f t="shared" si="24"/>
        <v>5.9552392987387952</v>
      </c>
      <c r="Q82" s="200">
        <f t="shared" si="25"/>
        <v>6.0447607012612048</v>
      </c>
      <c r="R82" s="200">
        <f t="shared" si="26"/>
        <v>17.955239298738796</v>
      </c>
      <c r="S82" s="204">
        <f t="shared" si="27"/>
        <v>0.29305555555555557</v>
      </c>
      <c r="T82" s="204">
        <f t="shared" si="28"/>
        <v>0.7895833333333333</v>
      </c>
      <c r="U82" s="205" t="str">
        <f t="shared" si="30"/>
        <v>H</v>
      </c>
      <c r="V82" s="272">
        <f t="shared" si="29"/>
        <v>1</v>
      </c>
      <c r="W82" s="207" t="str">
        <f>IF(Introduction!$E$7=1,CONCATENATE("🌞 ➚ ",TEXT(S82,"hh:mm")," ","➘ ",TEXT(T82,"hh:mm")),CONCATENATE("☼ ➚ ",TEXT(S82,"hh:mm")," ","➘ ",TEXT(T82,"hh:mm")))</f>
        <v>🌞 ➚ 07:02 ➘ 18:57</v>
      </c>
    </row>
    <row r="83" spans="6:23" x14ac:dyDescent="0.2">
      <c r="F83" s="198">
        <f t="shared" si="37"/>
        <v>44272</v>
      </c>
      <c r="G83" s="199">
        <f t="shared" si="31"/>
        <v>76</v>
      </c>
      <c r="H83" s="200">
        <f t="shared" si="21"/>
        <v>71.905599999999993</v>
      </c>
      <c r="I83" s="200">
        <f t="shared" si="32"/>
        <v>1.8311541785964476</v>
      </c>
      <c r="J83" s="200">
        <f t="shared" si="22"/>
        <v>356.73675417859641</v>
      </c>
      <c r="K83" s="200">
        <f t="shared" si="33"/>
        <v>0.26832180598235811</v>
      </c>
      <c r="L83" s="201">
        <f t="shared" si="34"/>
        <v>8.3979039383152223</v>
      </c>
      <c r="M83" s="202">
        <f t="shared" si="35"/>
        <v>0.3499126640964676</v>
      </c>
      <c r="N83" s="203">
        <f t="shared" si="36"/>
        <v>-1.2975283975846701</v>
      </c>
      <c r="O83" s="200">
        <f t="shared" si="23"/>
        <v>89.781141727708203</v>
      </c>
      <c r="P83" s="200">
        <f t="shared" si="24"/>
        <v>5.98540944851388</v>
      </c>
      <c r="Q83" s="200">
        <f t="shared" si="25"/>
        <v>6.01459055148612</v>
      </c>
      <c r="R83" s="200">
        <f t="shared" si="26"/>
        <v>17.985409448513881</v>
      </c>
      <c r="S83" s="204">
        <f t="shared" si="27"/>
        <v>0.29166666666666669</v>
      </c>
      <c r="T83" s="204">
        <f t="shared" si="28"/>
        <v>0.79027777777777775</v>
      </c>
      <c r="U83" s="205" t="str">
        <f t="shared" si="30"/>
        <v>H</v>
      </c>
      <c r="V83" s="272">
        <f t="shared" si="29"/>
        <v>1</v>
      </c>
      <c r="W83" s="207" t="str">
        <f>IF(Introduction!$E$7=1,CONCATENATE("🌞 ➚ ",TEXT(S83,"hh:mm")," ","➘ ",TEXT(T83,"hh:mm")),CONCATENATE("☼ ➚ ",TEXT(S83,"hh:mm")," ","➘ ",TEXT(T83,"hh:mm")))</f>
        <v>🌞 ➚ 07:00 ➘ 18:58</v>
      </c>
    </row>
    <row r="84" spans="6:23" x14ac:dyDescent="0.2">
      <c r="F84" s="198">
        <f t="shared" si="37"/>
        <v>44273</v>
      </c>
      <c r="G84" s="199">
        <f t="shared" si="31"/>
        <v>77</v>
      </c>
      <c r="H84" s="200">
        <f t="shared" si="21"/>
        <v>72.891200000000026</v>
      </c>
      <c r="I84" s="200">
        <f t="shared" si="32"/>
        <v>1.8405481181644017</v>
      </c>
      <c r="J84" s="200">
        <f t="shared" si="22"/>
        <v>357.73174811816443</v>
      </c>
      <c r="K84" s="200">
        <f t="shared" si="33"/>
        <v>0.1866886406634036</v>
      </c>
      <c r="L84" s="201">
        <f t="shared" si="34"/>
        <v>8.1089470353112212</v>
      </c>
      <c r="M84" s="202">
        <f t="shared" si="35"/>
        <v>0.33787279313796753</v>
      </c>
      <c r="N84" s="203">
        <f t="shared" si="36"/>
        <v>-0.90211219829752298</v>
      </c>
      <c r="O84" s="200">
        <f t="shared" si="23"/>
        <v>90.233725544994201</v>
      </c>
      <c r="P84" s="200">
        <f t="shared" si="24"/>
        <v>6.0155817029996133</v>
      </c>
      <c r="Q84" s="200">
        <f t="shared" si="25"/>
        <v>5.9844182970003867</v>
      </c>
      <c r="R84" s="200">
        <f t="shared" si="26"/>
        <v>18.015581702999611</v>
      </c>
      <c r="S84" s="204">
        <f t="shared" si="27"/>
        <v>0.2902777777777778</v>
      </c>
      <c r="T84" s="204">
        <f t="shared" si="28"/>
        <v>0.79166666666666663</v>
      </c>
      <c r="U84" s="205" t="str">
        <f t="shared" si="30"/>
        <v>H</v>
      </c>
      <c r="V84" s="272">
        <f t="shared" si="29"/>
        <v>1</v>
      </c>
      <c r="W84" s="207" t="str">
        <f>IF(Introduction!$E$7=1,CONCATENATE("🌞 ➚ ",TEXT(S84,"hh:mm")," ","➘ ",TEXT(T84,"hh:mm")),CONCATENATE("☼ ➚ ",TEXT(S84,"hh:mm")," ","➘ ",TEXT(T84,"hh:mm")))</f>
        <v>🌞 ➚ 06:58 ➘ 19:00</v>
      </c>
    </row>
    <row r="85" spans="6:23" x14ac:dyDescent="0.2">
      <c r="F85" s="198">
        <f t="shared" si="37"/>
        <v>44274</v>
      </c>
      <c r="G85" s="199">
        <f t="shared" si="31"/>
        <v>78</v>
      </c>
      <c r="H85" s="200">
        <f t="shared" si="21"/>
        <v>73.876800000000003</v>
      </c>
      <c r="I85" s="200">
        <f t="shared" si="32"/>
        <v>1.8493874562153585</v>
      </c>
      <c r="J85" s="200">
        <f t="shared" si="22"/>
        <v>358.72618745621537</v>
      </c>
      <c r="K85" s="200">
        <f t="shared" si="33"/>
        <v>0.10490617467388746</v>
      </c>
      <c r="L85" s="201">
        <f t="shared" si="34"/>
        <v>7.8171745235569841</v>
      </c>
      <c r="M85" s="202">
        <f t="shared" si="35"/>
        <v>0.32571560514820769</v>
      </c>
      <c r="N85" s="203">
        <f t="shared" si="36"/>
        <v>-0.50668749206896935</v>
      </c>
      <c r="O85" s="200">
        <f t="shared" si="23"/>
        <v>90.68629563434591</v>
      </c>
      <c r="P85" s="200">
        <f t="shared" si="24"/>
        <v>6.0457530422897277</v>
      </c>
      <c r="Q85" s="200">
        <f t="shared" si="25"/>
        <v>5.9542469577102723</v>
      </c>
      <c r="R85" s="200">
        <f t="shared" si="26"/>
        <v>18.045753042289729</v>
      </c>
      <c r="S85" s="204">
        <f t="shared" si="27"/>
        <v>0.28888888888888892</v>
      </c>
      <c r="T85" s="204">
        <f t="shared" si="28"/>
        <v>0.79236111111111107</v>
      </c>
      <c r="U85" s="205" t="str">
        <f t="shared" si="30"/>
        <v>H</v>
      </c>
      <c r="V85" s="272">
        <f t="shared" si="29"/>
        <v>1</v>
      </c>
      <c r="W85" s="207" t="str">
        <f>IF(Introduction!$E$7=1,CONCATENATE("🌞 ➚ ",TEXT(S85,"hh:mm")," ","➘ ",TEXT(T85,"hh:mm")),CONCATENATE("☼ ➚ ",TEXT(S85,"hh:mm")," ","➘ ",TEXT(T85,"hh:mm")))</f>
        <v>🌞 ➚ 06:56 ➘ 19:01</v>
      </c>
    </row>
    <row r="86" spans="6:23" x14ac:dyDescent="0.2">
      <c r="F86" s="198">
        <f t="shared" si="37"/>
        <v>44275</v>
      </c>
      <c r="G86" s="199">
        <f t="shared" si="31"/>
        <v>79</v>
      </c>
      <c r="H86" s="200">
        <f t="shared" si="21"/>
        <v>74.86239999999998</v>
      </c>
      <c r="I86" s="200">
        <f t="shared" si="32"/>
        <v>1.8576700880263597</v>
      </c>
      <c r="J86" s="200">
        <f t="shared" si="22"/>
        <v>359.72007008802632</v>
      </c>
      <c r="K86" s="200">
        <f t="shared" si="33"/>
        <v>2.306018005301548E-2</v>
      </c>
      <c r="L86" s="201">
        <f t="shared" si="34"/>
        <v>7.5229210723175006</v>
      </c>
      <c r="M86" s="202">
        <f t="shared" si="35"/>
        <v>0.31345504467989588</v>
      </c>
      <c r="N86" s="203">
        <f t="shared" si="36"/>
        <v>-0.11135574607470278</v>
      </c>
      <c r="O86" s="200">
        <f t="shared" si="23"/>
        <v>91.138807202834442</v>
      </c>
      <c r="P86" s="200">
        <f t="shared" si="24"/>
        <v>6.0759204801889632</v>
      </c>
      <c r="Q86" s="200">
        <f t="shared" si="25"/>
        <v>5.9240795198110368</v>
      </c>
      <c r="R86" s="200">
        <f t="shared" si="26"/>
        <v>18.075920480188962</v>
      </c>
      <c r="S86" s="204">
        <f t="shared" si="27"/>
        <v>0.28750000000000003</v>
      </c>
      <c r="T86" s="204">
        <f t="shared" si="28"/>
        <v>0.79375000000000007</v>
      </c>
      <c r="U86" s="205" t="str">
        <f t="shared" si="30"/>
        <v>H</v>
      </c>
      <c r="V86" s="272">
        <f t="shared" si="29"/>
        <v>1</v>
      </c>
      <c r="W86" s="207" t="str">
        <f>IF(Introduction!$E$7=1,CONCATENATE("🌞 ➚ ",TEXT(S86,"hh:mm")," ","➘ ",TEXT(T86,"hh:mm")),CONCATENATE("☼ ➚ ",TEXT(S86,"hh:mm")," ","➘ ",TEXT(T86,"hh:mm")))</f>
        <v>🌞 ➚ 06:54 ➘ 19:03</v>
      </c>
    </row>
    <row r="87" spans="6:23" x14ac:dyDescent="0.2">
      <c r="F87" s="198">
        <f t="shared" si="37"/>
        <v>44276</v>
      </c>
      <c r="G87" s="199">
        <f t="shared" si="31"/>
        <v>80</v>
      </c>
      <c r="H87" s="200">
        <f t="shared" si="21"/>
        <v>75.848000000000013</v>
      </c>
      <c r="I87" s="200">
        <f t="shared" si="32"/>
        <v>1.8653940848141453</v>
      </c>
      <c r="J87" s="200">
        <f t="shared" si="22"/>
        <v>0.71339408481418332</v>
      </c>
      <c r="K87" s="200">
        <f t="shared" si="33"/>
        <v>-5.8763821589663159E-2</v>
      </c>
      <c r="L87" s="201">
        <f t="shared" si="34"/>
        <v>7.2265210528979287</v>
      </c>
      <c r="M87" s="202">
        <f t="shared" si="35"/>
        <v>0.30110504387074705</v>
      </c>
      <c r="N87" s="203">
        <f t="shared" si="36"/>
        <v>0.28378199468222404</v>
      </c>
      <c r="O87" s="200">
        <f t="shared" si="23"/>
        <v>91.591215826757562</v>
      </c>
      <c r="P87" s="200">
        <f t="shared" si="24"/>
        <v>6.1060810551171709</v>
      </c>
      <c r="Q87" s="200">
        <f t="shared" si="25"/>
        <v>5.8939189448828291</v>
      </c>
      <c r="R87" s="200">
        <f t="shared" si="26"/>
        <v>18.106081055117173</v>
      </c>
      <c r="S87" s="204">
        <f t="shared" si="27"/>
        <v>0.28541666666666665</v>
      </c>
      <c r="T87" s="204">
        <f t="shared" si="28"/>
        <v>0.7944444444444444</v>
      </c>
      <c r="U87" s="205" t="str">
        <f t="shared" si="30"/>
        <v>H</v>
      </c>
      <c r="V87" s="272">
        <f t="shared" si="29"/>
        <v>1</v>
      </c>
      <c r="W87" s="207" t="str">
        <f>IF(Introduction!$E$7=1,CONCATENATE("🌞 ➚ ",TEXT(S87,"hh:mm")," ","➘ ",TEXT(T87,"hh:mm")),CONCATENATE("☼ ➚ ",TEXT(S87,"hh:mm")," ","➘ ",TEXT(T87,"hh:mm")))</f>
        <v>🌞 ➚ 06:51 ➘ 19:04</v>
      </c>
    </row>
    <row r="88" spans="6:23" x14ac:dyDescent="0.2">
      <c r="F88" s="198">
        <f t="shared" si="37"/>
        <v>44277</v>
      </c>
      <c r="G88" s="199">
        <f t="shared" si="31"/>
        <v>81</v>
      </c>
      <c r="H88" s="200">
        <f t="shared" si="21"/>
        <v>76.83359999999999</v>
      </c>
      <c r="I88" s="200">
        <f t="shared" si="32"/>
        <v>1.8725576936880273</v>
      </c>
      <c r="J88" s="200">
        <f t="shared" si="22"/>
        <v>1.7061576936879987</v>
      </c>
      <c r="K88" s="200">
        <f t="shared" si="33"/>
        <v>-0.14048059938542176</v>
      </c>
      <c r="L88" s="201">
        <f t="shared" si="34"/>
        <v>6.9283083772104224</v>
      </c>
      <c r="M88" s="202">
        <f t="shared" si="35"/>
        <v>0.28867951571710093</v>
      </c>
      <c r="N88" s="203">
        <f t="shared" si="36"/>
        <v>0.67862509609058597</v>
      </c>
      <c r="O88" s="200">
        <f t="shared" si="23"/>
        <v>92.043477315997833</v>
      </c>
      <c r="P88" s="200">
        <f t="shared" si="24"/>
        <v>6.1362318210665219</v>
      </c>
      <c r="Q88" s="200">
        <f t="shared" si="25"/>
        <v>5.8637681789334781</v>
      </c>
      <c r="R88" s="200">
        <f t="shared" si="26"/>
        <v>18.136231821066524</v>
      </c>
      <c r="S88" s="204">
        <f t="shared" si="27"/>
        <v>0.28402777777777777</v>
      </c>
      <c r="T88" s="204">
        <f t="shared" si="28"/>
        <v>0.79583333333333339</v>
      </c>
      <c r="U88" s="205" t="str">
        <f t="shared" si="30"/>
        <v>H</v>
      </c>
      <c r="V88" s="272">
        <f t="shared" si="29"/>
        <v>1</v>
      </c>
      <c r="W88" s="207" t="str">
        <f>IF(Introduction!$E$7=1,CONCATENATE("🌞 ➚ ",TEXT(S88,"hh:mm")," ","➘ ",TEXT(T88,"hh:mm")),CONCATENATE("☼ ➚ ",TEXT(S88,"hh:mm")," ","➘ ",TEXT(T88,"hh:mm")))</f>
        <v>🌞 ➚ 06:49 ➘ 19:06</v>
      </c>
    </row>
    <row r="89" spans="6:23" x14ac:dyDescent="0.2">
      <c r="F89" s="198">
        <f t="shared" si="37"/>
        <v>44278</v>
      </c>
      <c r="G89" s="199">
        <f t="shared" si="31"/>
        <v>82</v>
      </c>
      <c r="H89" s="200">
        <f t="shared" si="21"/>
        <v>77.819200000000023</v>
      </c>
      <c r="I89" s="200">
        <f t="shared" si="32"/>
        <v>1.8791593375381841</v>
      </c>
      <c r="J89" s="200">
        <f t="shared" si="22"/>
        <v>2.6983593375381929</v>
      </c>
      <c r="K89" s="200">
        <f t="shared" si="33"/>
        <v>-0.22200525288100889</v>
      </c>
      <c r="L89" s="201">
        <f t="shared" si="34"/>
        <v>6.6286163386287011</v>
      </c>
      <c r="M89" s="202">
        <f t="shared" si="35"/>
        <v>0.27619234744286253</v>
      </c>
      <c r="N89" s="203">
        <f t="shared" si="36"/>
        <v>1.0730733234411789</v>
      </c>
      <c r="O89" s="200">
        <f t="shared" si="23"/>
        <v>92.495547579143832</v>
      </c>
      <c r="P89" s="200">
        <f t="shared" si="24"/>
        <v>6.1663698386095884</v>
      </c>
      <c r="Q89" s="200">
        <f t="shared" si="25"/>
        <v>5.8336301613904116</v>
      </c>
      <c r="R89" s="200">
        <f t="shared" si="26"/>
        <v>18.16636983860959</v>
      </c>
      <c r="S89" s="204">
        <f t="shared" si="27"/>
        <v>0.28263888888888888</v>
      </c>
      <c r="T89" s="204">
        <f t="shared" si="28"/>
        <v>0.79652777777777783</v>
      </c>
      <c r="U89" s="205" t="str">
        <f t="shared" si="30"/>
        <v>H</v>
      </c>
      <c r="V89" s="272">
        <f t="shared" si="29"/>
        <v>1</v>
      </c>
      <c r="W89" s="207" t="str">
        <f>IF(Introduction!$E$7=1,CONCATENATE("🌞 ➚ ",TEXT(S89,"hh:mm")," ","➘ ",TEXT(T89,"hh:mm")),CONCATENATE("☼ ➚ ",TEXT(S89,"hh:mm")," ","➘ ",TEXT(T89,"hh:mm")))</f>
        <v>🌞 ➚ 06:47 ➘ 19:07</v>
      </c>
    </row>
    <row r="90" spans="6:23" x14ac:dyDescent="0.2">
      <c r="F90" s="198">
        <f t="shared" si="37"/>
        <v>44279</v>
      </c>
      <c r="G90" s="199">
        <f t="shared" si="31"/>
        <v>83</v>
      </c>
      <c r="H90" s="200">
        <f t="shared" si="21"/>
        <v>78.8048</v>
      </c>
      <c r="I90" s="200">
        <f t="shared" si="32"/>
        <v>1.8851976148601453</v>
      </c>
      <c r="J90" s="200">
        <f t="shared" si="22"/>
        <v>3.6899976148601468</v>
      </c>
      <c r="K90" s="200">
        <f t="shared" si="33"/>
        <v>-0.30325325133557302</v>
      </c>
      <c r="L90" s="201">
        <f t="shared" si="34"/>
        <v>6.327777454098289</v>
      </c>
      <c r="M90" s="202">
        <f t="shared" si="35"/>
        <v>0.26365739392076204</v>
      </c>
      <c r="N90" s="203">
        <f t="shared" si="36"/>
        <v>1.4670268297972278</v>
      </c>
      <c r="O90" s="200">
        <f t="shared" si="23"/>
        <v>92.947382489336647</v>
      </c>
      <c r="P90" s="200">
        <f t="shared" si="24"/>
        <v>6.1964921659557763</v>
      </c>
      <c r="Q90" s="200">
        <f t="shared" si="25"/>
        <v>5.8035078340442237</v>
      </c>
      <c r="R90" s="200">
        <f t="shared" si="26"/>
        <v>18.196492165955775</v>
      </c>
      <c r="S90" s="204">
        <f t="shared" si="27"/>
        <v>0.28125</v>
      </c>
      <c r="T90" s="204">
        <f t="shared" si="28"/>
        <v>0.79791666666666661</v>
      </c>
      <c r="U90" s="205" t="str">
        <f t="shared" si="30"/>
        <v>H</v>
      </c>
      <c r="V90" s="272">
        <f t="shared" si="29"/>
        <v>1</v>
      </c>
      <c r="W90" s="207" t="str">
        <f>IF(Introduction!$E$7=1,CONCATENATE("🌞 ➚ ",TEXT(S90,"hh:mm")," ","➘ ",TEXT(T90,"hh:mm")),CONCATENATE("☼ ➚ ",TEXT(S90,"hh:mm")," ","➘ ",TEXT(T90,"hh:mm")))</f>
        <v>🌞 ➚ 06:45 ➘ 19:09</v>
      </c>
    </row>
    <row r="91" spans="6:23" x14ac:dyDescent="0.2">
      <c r="F91" s="198">
        <f t="shared" si="37"/>
        <v>44280</v>
      </c>
      <c r="G91" s="199">
        <f t="shared" si="31"/>
        <v>84</v>
      </c>
      <c r="H91" s="200">
        <f t="shared" si="21"/>
        <v>79.790399999999977</v>
      </c>
      <c r="I91" s="200">
        <f t="shared" si="32"/>
        <v>1.8906712995162887</v>
      </c>
      <c r="J91" s="200">
        <f t="shared" si="22"/>
        <v>4.6810712995162476</v>
      </c>
      <c r="K91" s="200">
        <f t="shared" si="33"/>
        <v>-0.38414047289446712</v>
      </c>
      <c r="L91" s="201">
        <f t="shared" si="34"/>
        <v>6.0261233064872863</v>
      </c>
      <c r="M91" s="202">
        <f t="shared" si="35"/>
        <v>0.25108847110363691</v>
      </c>
      <c r="N91" s="203">
        <f t="shared" si="36"/>
        <v>1.8603861442957705</v>
      </c>
      <c r="O91" s="200">
        <f t="shared" si="23"/>
        <v>93.39893775080715</v>
      </c>
      <c r="P91" s="200">
        <f t="shared" si="24"/>
        <v>6.2265958500538101</v>
      </c>
      <c r="Q91" s="200">
        <f t="shared" si="25"/>
        <v>5.7734041499461899</v>
      </c>
      <c r="R91" s="200">
        <f t="shared" si="26"/>
        <v>18.226595850053812</v>
      </c>
      <c r="S91" s="204">
        <f t="shared" si="27"/>
        <v>0.27986111111111112</v>
      </c>
      <c r="T91" s="204">
        <f t="shared" si="28"/>
        <v>0.79861111111111116</v>
      </c>
      <c r="U91" s="205" t="str">
        <f t="shared" si="30"/>
        <v>H</v>
      </c>
      <c r="V91" s="272">
        <f t="shared" si="29"/>
        <v>1</v>
      </c>
      <c r="W91" s="207" t="str">
        <f>IF(Introduction!$E$7=1,CONCATENATE("🌞 ➚ ",TEXT(S91,"hh:mm")," ","➘ ",TEXT(T91,"hh:mm")),CONCATENATE("☼ ➚ ",TEXT(S91,"hh:mm")," ","➘ ",TEXT(T91,"hh:mm")))</f>
        <v>🌞 ➚ 06:43 ➘ 19:10</v>
      </c>
    </row>
    <row r="92" spans="6:23" x14ac:dyDescent="0.2">
      <c r="F92" s="198">
        <f t="shared" si="37"/>
        <v>44281</v>
      </c>
      <c r="G92" s="199">
        <f t="shared" si="31"/>
        <v>85</v>
      </c>
      <c r="H92" s="200">
        <f t="shared" si="21"/>
        <v>80.77600000000001</v>
      </c>
      <c r="I92" s="200">
        <f t="shared" si="32"/>
        <v>1.8955793404351895</v>
      </c>
      <c r="J92" s="200">
        <f t="shared" si="22"/>
        <v>5.6715793404351871</v>
      </c>
      <c r="K92" s="200">
        <f t="shared" si="33"/>
        <v>-0.46458324388767364</v>
      </c>
      <c r="L92" s="201">
        <f t="shared" si="34"/>
        <v>5.7239843861900637</v>
      </c>
      <c r="M92" s="202">
        <f t="shared" si="35"/>
        <v>0.23849934942458598</v>
      </c>
      <c r="N92" s="203">
        <f t="shared" si="36"/>
        <v>2.2530521604477527</v>
      </c>
      <c r="O92" s="200">
        <f t="shared" si="23"/>
        <v>93.850168766066759</v>
      </c>
      <c r="P92" s="200">
        <f t="shared" si="24"/>
        <v>6.2566779177377843</v>
      </c>
      <c r="Q92" s="200">
        <f t="shared" si="25"/>
        <v>5.7433220822622157</v>
      </c>
      <c r="R92" s="200">
        <f t="shared" si="26"/>
        <v>18.256677917737782</v>
      </c>
      <c r="S92" s="204">
        <f t="shared" si="27"/>
        <v>0.27847222222222223</v>
      </c>
      <c r="T92" s="204">
        <f t="shared" si="28"/>
        <v>0.79999999999999993</v>
      </c>
      <c r="U92" s="205" t="str">
        <f t="shared" si="30"/>
        <v>H</v>
      </c>
      <c r="V92" s="272">
        <f t="shared" si="29"/>
        <v>1</v>
      </c>
      <c r="W92" s="207" t="str">
        <f>IF(Introduction!$E$7=1,CONCATENATE("🌞 ➚ ",TEXT(S92,"hh:mm")," ","➘ ",TEXT(T92,"hh:mm")),CONCATENATE("☼ ➚ ",TEXT(S92,"hh:mm")," ","➘ ",TEXT(T92,"hh:mm")))</f>
        <v>🌞 ➚ 06:41 ➘ 19:12</v>
      </c>
    </row>
    <row r="93" spans="6:23" x14ac:dyDescent="0.2">
      <c r="F93" s="198">
        <f t="shared" si="37"/>
        <v>44282</v>
      </c>
      <c r="G93" s="199">
        <f t="shared" si="31"/>
        <v>86</v>
      </c>
      <c r="H93" s="200">
        <f t="shared" si="21"/>
        <v>81.761599999999987</v>
      </c>
      <c r="I93" s="200">
        <f t="shared" si="32"/>
        <v>1.8999208612496925</v>
      </c>
      <c r="J93" s="200">
        <f t="shared" si="22"/>
        <v>6.6615208612496986</v>
      </c>
      <c r="K93" s="200">
        <f t="shared" si="33"/>
        <v>-0.54449837849268468</v>
      </c>
      <c r="L93" s="201">
        <f t="shared" si="34"/>
        <v>5.4216899310280313</v>
      </c>
      <c r="M93" s="202">
        <f t="shared" si="35"/>
        <v>0.22590374712616798</v>
      </c>
      <c r="N93" s="203">
        <f t="shared" si="36"/>
        <v>2.6449261245046234</v>
      </c>
      <c r="O93" s="200">
        <f t="shared" si="23"/>
        <v>94.301030503718565</v>
      </c>
      <c r="P93" s="200">
        <f t="shared" si="24"/>
        <v>6.2867353669145709</v>
      </c>
      <c r="Q93" s="200">
        <f t="shared" si="25"/>
        <v>5.7132646330854291</v>
      </c>
      <c r="R93" s="200">
        <f t="shared" si="26"/>
        <v>18.28673536691457</v>
      </c>
      <c r="S93" s="204">
        <f t="shared" si="27"/>
        <v>0.27708333333333335</v>
      </c>
      <c r="T93" s="204">
        <f t="shared" si="28"/>
        <v>0.80069444444444438</v>
      </c>
      <c r="U93" s="205" t="str">
        <f t="shared" si="30"/>
        <v>H</v>
      </c>
      <c r="V93" s="272">
        <f t="shared" si="29"/>
        <v>1</v>
      </c>
      <c r="W93" s="207" t="str">
        <f>IF(Introduction!$E$7=1,CONCATENATE("🌞 ➚ ",TEXT(S93,"hh:mm")," ","➘ ",TEXT(T93,"hh:mm")),CONCATENATE("☼ ➚ ",TEXT(S93,"hh:mm")," ","➘ ",TEXT(T93,"hh:mm")))</f>
        <v>🌞 ➚ 06:39 ➘ 19:13</v>
      </c>
    </row>
    <row r="94" spans="6:23" x14ac:dyDescent="0.2">
      <c r="F94" s="198">
        <f t="shared" si="37"/>
        <v>44283</v>
      </c>
      <c r="G94" s="199">
        <f t="shared" si="31"/>
        <v>87</v>
      </c>
      <c r="H94" s="200">
        <f t="shared" si="21"/>
        <v>82.747200000000021</v>
      </c>
      <c r="I94" s="200">
        <f t="shared" si="32"/>
        <v>1.9036951598746172</v>
      </c>
      <c r="J94" s="200">
        <f t="shared" si="22"/>
        <v>7.6508951598746648</v>
      </c>
      <c r="K94" s="200">
        <f t="shared" si="33"/>
        <v>-0.62380321899205071</v>
      </c>
      <c r="L94" s="201">
        <f t="shared" si="34"/>
        <v>5.1195677635302665</v>
      </c>
      <c r="M94" s="202">
        <f t="shared" si="35"/>
        <v>0.21331532348042778</v>
      </c>
      <c r="N94" s="203">
        <f t="shared" si="36"/>
        <v>3.0359096239586854</v>
      </c>
      <c r="O94" s="200">
        <f t="shared" si="23"/>
        <v>94.751477366858438</v>
      </c>
      <c r="P94" s="200">
        <f t="shared" si="24"/>
        <v>6.3167651577905621</v>
      </c>
      <c r="Q94" s="200">
        <f t="shared" si="25"/>
        <v>5.6832348422094379</v>
      </c>
      <c r="R94" s="200">
        <f t="shared" si="26"/>
        <v>18.316765157790563</v>
      </c>
      <c r="S94" s="204">
        <f t="shared" si="27"/>
        <v>0.31736111111111115</v>
      </c>
      <c r="T94" s="204">
        <f t="shared" si="28"/>
        <v>0.84375</v>
      </c>
      <c r="U94" s="205" t="str">
        <f t="shared" si="30"/>
        <v>E</v>
      </c>
      <c r="V94" s="272">
        <f t="shared" si="29"/>
        <v>2</v>
      </c>
      <c r="W94" s="207" t="str">
        <f>IF(Introduction!$E$7=1,CONCATENATE("🌞 ➚ ",TEXT(S94,"hh:mm")," ","➘ ",TEXT(T94,"hh:mm")),CONCATENATE("☼ ➚ ",TEXT(S94,"hh:mm")," ","➘ ",TEXT(T94,"hh:mm")))</f>
        <v>🌞 ➚ 07:37 ➘ 20:15</v>
      </c>
    </row>
    <row r="95" spans="6:23" x14ac:dyDescent="0.2">
      <c r="F95" s="198">
        <f t="shared" si="37"/>
        <v>44284</v>
      </c>
      <c r="G95" s="199">
        <f t="shared" si="31"/>
        <v>88</v>
      </c>
      <c r="H95" s="200">
        <f t="shared" si="21"/>
        <v>83.732799999999997</v>
      </c>
      <c r="I95" s="200">
        <f t="shared" si="32"/>
        <v>1.9069017080250221</v>
      </c>
      <c r="J95" s="200">
        <f t="shared" si="22"/>
        <v>8.6397017080250293</v>
      </c>
      <c r="K95" s="200">
        <f t="shared" si="33"/>
        <v>-0.70241567684442541</v>
      </c>
      <c r="L95" s="201">
        <f t="shared" si="34"/>
        <v>4.8179441247223869</v>
      </c>
      <c r="M95" s="202">
        <f t="shared" si="35"/>
        <v>0.20074767186343279</v>
      </c>
      <c r="N95" s="203">
        <f t="shared" si="36"/>
        <v>3.4259045762426816</v>
      </c>
      <c r="O95" s="200">
        <f t="shared" si="23"/>
        <v>95.20146306203911</v>
      </c>
      <c r="P95" s="200">
        <f t="shared" si="24"/>
        <v>6.3467642041359404</v>
      </c>
      <c r="Q95" s="200">
        <f t="shared" si="25"/>
        <v>5.6532357958640596</v>
      </c>
      <c r="R95" s="200">
        <f t="shared" si="26"/>
        <v>18.34676420413594</v>
      </c>
      <c r="S95" s="204">
        <f t="shared" si="27"/>
        <v>0.31597222222222221</v>
      </c>
      <c r="T95" s="204">
        <f t="shared" si="28"/>
        <v>0.84444444444444444</v>
      </c>
      <c r="U95" s="205" t="str">
        <f t="shared" si="30"/>
        <v>E</v>
      </c>
      <c r="V95" s="272">
        <f t="shared" si="29"/>
        <v>2</v>
      </c>
      <c r="W95" s="207" t="str">
        <f>IF(Introduction!$E$7=1,CONCATENATE("🌞 ➚ ",TEXT(S95,"hh:mm")," ","➘ ",TEXT(T95,"hh:mm")),CONCATENATE("☼ ➚ ",TEXT(S95,"hh:mm")," ","➘ ",TEXT(T95,"hh:mm")))</f>
        <v>🌞 ➚ 07:35 ➘ 20:16</v>
      </c>
    </row>
    <row r="96" spans="6:23" x14ac:dyDescent="0.2">
      <c r="F96" s="198">
        <f t="shared" si="37"/>
        <v>44285</v>
      </c>
      <c r="G96" s="199">
        <f t="shared" si="31"/>
        <v>89</v>
      </c>
      <c r="H96" s="200">
        <f t="shared" si="21"/>
        <v>84.718399999999974</v>
      </c>
      <c r="I96" s="200">
        <f t="shared" si="32"/>
        <v>1.9095401506759899</v>
      </c>
      <c r="J96" s="200">
        <f t="shared" si="22"/>
        <v>9.6279401506759541</v>
      </c>
      <c r="K96" s="200">
        <f t="shared" si="33"/>
        <v>-0.78025427477558595</v>
      </c>
      <c r="L96" s="201">
        <f t="shared" si="34"/>
        <v>4.5171435036016163</v>
      </c>
      <c r="M96" s="202">
        <f t="shared" si="35"/>
        <v>0.18821431265006736</v>
      </c>
      <c r="N96" s="203">
        <f t="shared" si="36"/>
        <v>3.8148132176946059</v>
      </c>
      <c r="O96" s="200">
        <f t="shared" si="23"/>
        <v>95.650940468777506</v>
      </c>
      <c r="P96" s="200">
        <f t="shared" si="24"/>
        <v>6.3767293645851675</v>
      </c>
      <c r="Q96" s="200">
        <f t="shared" si="25"/>
        <v>5.6232706354148325</v>
      </c>
      <c r="R96" s="200">
        <f t="shared" si="26"/>
        <v>18.376729364585167</v>
      </c>
      <c r="S96" s="204">
        <f t="shared" si="27"/>
        <v>0.31458333333333333</v>
      </c>
      <c r="T96" s="204">
        <f t="shared" si="28"/>
        <v>0.84583333333333333</v>
      </c>
      <c r="U96" s="205" t="str">
        <f t="shared" si="30"/>
        <v>E</v>
      </c>
      <c r="V96" s="272">
        <f t="shared" si="29"/>
        <v>2</v>
      </c>
      <c r="W96" s="207" t="str">
        <f>IF(Introduction!$E$7=1,CONCATENATE("🌞 ➚ ",TEXT(S96,"hh:mm")," ","➘ ",TEXT(T96,"hh:mm")),CONCATENATE("☼ ➚ ",TEXT(S96,"hh:mm")," ","➘ ",TEXT(T96,"hh:mm")))</f>
        <v>🌞 ➚ 07:33 ➘ 20:18</v>
      </c>
    </row>
    <row r="97" spans="6:23" x14ac:dyDescent="0.2">
      <c r="F97" s="198">
        <f t="shared" si="37"/>
        <v>44286</v>
      </c>
      <c r="G97" s="199">
        <f t="shared" si="31"/>
        <v>90</v>
      </c>
      <c r="H97" s="200">
        <f t="shared" si="21"/>
        <v>85.704000000000008</v>
      </c>
      <c r="I97" s="200">
        <f t="shared" si="32"/>
        <v>1.9116103054649176</v>
      </c>
      <c r="J97" s="200">
        <f t="shared" si="22"/>
        <v>10.615610305464941</v>
      </c>
      <c r="K97" s="200">
        <f t="shared" si="33"/>
        <v>-0.85723819008178814</v>
      </c>
      <c r="L97" s="201">
        <f t="shared" si="34"/>
        <v>4.2174884615325183</v>
      </c>
      <c r="M97" s="202">
        <f t="shared" si="35"/>
        <v>0.17572868589718826</v>
      </c>
      <c r="N97" s="203">
        <f t="shared" si="36"/>
        <v>4.2025380928519445</v>
      </c>
      <c r="O97" s="200">
        <f t="shared" si="23"/>
        <v>96.099861509590468</v>
      </c>
      <c r="P97" s="200">
        <f t="shared" si="24"/>
        <v>6.4066574339726978</v>
      </c>
      <c r="Q97" s="200">
        <f t="shared" si="25"/>
        <v>5.5933425660273022</v>
      </c>
      <c r="R97" s="200">
        <f t="shared" si="26"/>
        <v>18.406657433972697</v>
      </c>
      <c r="S97" s="204">
        <f t="shared" si="27"/>
        <v>0.3125</v>
      </c>
      <c r="T97" s="204">
        <f t="shared" si="28"/>
        <v>0.84652777777777777</v>
      </c>
      <c r="U97" s="205" t="str">
        <f t="shared" si="30"/>
        <v>E</v>
      </c>
      <c r="V97" s="272">
        <f t="shared" si="29"/>
        <v>2</v>
      </c>
      <c r="W97" s="207" t="str">
        <f>IF(Introduction!$E$7=1,CONCATENATE("🌞 ➚ ",TEXT(S97,"hh:mm")," ","➘ ",TEXT(T97,"hh:mm")),CONCATENATE("☼ ➚ ",TEXT(S97,"hh:mm")," ","➘ ",TEXT(T97,"hh:mm")))</f>
        <v>🌞 ➚ 07:30 ➘ 20:19</v>
      </c>
    </row>
    <row r="98" spans="6:23" x14ac:dyDescent="0.2">
      <c r="F98" s="198">
        <f t="shared" si="37"/>
        <v>44287</v>
      </c>
      <c r="G98" s="199">
        <f t="shared" si="31"/>
        <v>91</v>
      </c>
      <c r="H98" s="200">
        <f t="shared" si="21"/>
        <v>86.689599999999984</v>
      </c>
      <c r="I98" s="200">
        <f t="shared" si="32"/>
        <v>1.9131121620373164</v>
      </c>
      <c r="J98" s="200">
        <f t="shared" si="22"/>
        <v>11.602712162037278</v>
      </c>
      <c r="K98" s="200">
        <f t="shared" si="33"/>
        <v>-0.93328729932283649</v>
      </c>
      <c r="L98" s="201">
        <f t="shared" si="34"/>
        <v>3.9192994508579195</v>
      </c>
      <c r="M98" s="202">
        <f t="shared" si="35"/>
        <v>0.16330414378574665</v>
      </c>
      <c r="N98" s="203">
        <f t="shared" si="36"/>
        <v>4.5889820441396116</v>
      </c>
      <c r="O98" s="200">
        <f t="shared" si="23"/>
        <v>96.54817702055324</v>
      </c>
      <c r="P98" s="200">
        <f t="shared" si="24"/>
        <v>6.4365451347035494</v>
      </c>
      <c r="Q98" s="200">
        <f t="shared" si="25"/>
        <v>5.5634548652964506</v>
      </c>
      <c r="R98" s="200">
        <f t="shared" si="26"/>
        <v>18.43654513470355</v>
      </c>
      <c r="S98" s="204">
        <f t="shared" si="27"/>
        <v>0.31111111111111112</v>
      </c>
      <c r="T98" s="204">
        <f t="shared" si="28"/>
        <v>0.84791666666666676</v>
      </c>
      <c r="U98" s="205" t="str">
        <f t="shared" si="30"/>
        <v>E</v>
      </c>
      <c r="V98" s="272">
        <f t="shared" si="29"/>
        <v>2</v>
      </c>
      <c r="W98" s="207" t="str">
        <f>IF(Introduction!$E$7=1,CONCATENATE("🌞 ➚ ",TEXT(S98,"hh:mm")," ","➘ ",TEXT(T98,"hh:mm")),CONCATENATE("☼ ➚ ",TEXT(S98,"hh:mm")," ","➘ ",TEXT(T98,"hh:mm")))</f>
        <v>🌞 ➚ 07:28 ➘ 20:21</v>
      </c>
    </row>
    <row r="99" spans="6:23" x14ac:dyDescent="0.2">
      <c r="F99" s="198">
        <f t="shared" si="37"/>
        <v>44288</v>
      </c>
      <c r="G99" s="199">
        <f t="shared" si="31"/>
        <v>92</v>
      </c>
      <c r="H99" s="200">
        <f t="shared" si="21"/>
        <v>87.675200000000018</v>
      </c>
      <c r="I99" s="200">
        <f t="shared" si="32"/>
        <v>1.914045881337159</v>
      </c>
      <c r="J99" s="200">
        <f t="shared" si="22"/>
        <v>12.589245881337149</v>
      </c>
      <c r="K99" s="200">
        <f t="shared" si="33"/>
        <v>-1.0083222245661057</v>
      </c>
      <c r="L99" s="201">
        <f t="shared" si="34"/>
        <v>3.6228946270842135</v>
      </c>
      <c r="M99" s="202">
        <f t="shared" si="35"/>
        <v>0.15095394279517557</v>
      </c>
      <c r="N99" s="203">
        <f t="shared" si="36"/>
        <v>4.9740482020156227</v>
      </c>
      <c r="O99" s="200">
        <f t="shared" si="23"/>
        <v>96.995836622383848</v>
      </c>
      <c r="P99" s="200">
        <f t="shared" si="24"/>
        <v>6.4663891081589231</v>
      </c>
      <c r="Q99" s="200">
        <f t="shared" si="25"/>
        <v>5.5336108918410769</v>
      </c>
      <c r="R99" s="200">
        <f t="shared" si="26"/>
        <v>18.466389108158921</v>
      </c>
      <c r="S99" s="204">
        <f t="shared" si="27"/>
        <v>0.30972222222222223</v>
      </c>
      <c r="T99" s="204">
        <f t="shared" si="28"/>
        <v>0.84861111111111109</v>
      </c>
      <c r="U99" s="205" t="str">
        <f t="shared" si="30"/>
        <v>E</v>
      </c>
      <c r="V99" s="272">
        <f t="shared" si="29"/>
        <v>2</v>
      </c>
      <c r="W99" s="207" t="str">
        <f>IF(Introduction!$E$7=1,CONCATENATE("🌞 ➚ ",TEXT(S99,"hh:mm")," ","➘ ",TEXT(T99,"hh:mm")),CONCATENATE("☼ ➚ ",TEXT(S99,"hh:mm")," ","➘ ",TEXT(T99,"hh:mm")))</f>
        <v>🌞 ➚ 07:26 ➘ 20:22</v>
      </c>
    </row>
    <row r="100" spans="6:23" x14ac:dyDescent="0.2">
      <c r="F100" s="198">
        <f t="shared" si="37"/>
        <v>44289</v>
      </c>
      <c r="G100" s="199">
        <f t="shared" si="31"/>
        <v>93</v>
      </c>
      <c r="H100" s="200">
        <f t="shared" si="21"/>
        <v>88.660799999999995</v>
      </c>
      <c r="I100" s="200">
        <f t="shared" si="32"/>
        <v>1.9144117948428239</v>
      </c>
      <c r="J100" s="200">
        <f t="shared" si="22"/>
        <v>13.575211794842801</v>
      </c>
      <c r="K100" s="200">
        <f t="shared" si="33"/>
        <v>-1.0822643813252408</v>
      </c>
      <c r="L100" s="201">
        <f t="shared" si="34"/>
        <v>3.3285896540703321</v>
      </c>
      <c r="M100" s="202">
        <f t="shared" si="35"/>
        <v>0.13869123558626384</v>
      </c>
      <c r="N100" s="203">
        <f t="shared" si="36"/>
        <v>5.3576399756364852</v>
      </c>
      <c r="O100" s="200">
        <f t="shared" si="23"/>
        <v>97.442788592066236</v>
      </c>
      <c r="P100" s="200">
        <f t="shared" si="24"/>
        <v>6.4961859061377494</v>
      </c>
      <c r="Q100" s="200">
        <f t="shared" si="25"/>
        <v>5.5038140938622506</v>
      </c>
      <c r="R100" s="200">
        <f t="shared" si="26"/>
        <v>18.49618590613775</v>
      </c>
      <c r="S100" s="204">
        <f t="shared" si="27"/>
        <v>0.30833333333333335</v>
      </c>
      <c r="T100" s="204">
        <f t="shared" si="28"/>
        <v>0.85</v>
      </c>
      <c r="U100" s="205" t="str">
        <f t="shared" si="30"/>
        <v>E</v>
      </c>
      <c r="V100" s="272">
        <f t="shared" si="29"/>
        <v>2</v>
      </c>
      <c r="W100" s="207" t="str">
        <f>IF(Introduction!$E$7=1,CONCATENATE("🌞 ➚ ",TEXT(S100,"hh:mm")," ","➘ ",TEXT(T100,"hh:mm")),CONCATENATE("☼ ➚ ",TEXT(S100,"hh:mm")," ","➘ ",TEXT(T100,"hh:mm")))</f>
        <v>🌞 ➚ 07:24 ➘ 20:24</v>
      </c>
    </row>
    <row r="101" spans="6:23" x14ac:dyDescent="0.2">
      <c r="F101" s="198">
        <f t="shared" si="37"/>
        <v>44290</v>
      </c>
      <c r="G101" s="199">
        <f t="shared" si="31"/>
        <v>94</v>
      </c>
      <c r="H101" s="200">
        <f t="shared" si="21"/>
        <v>89.646399999999971</v>
      </c>
      <c r="I101" s="200">
        <f t="shared" si="32"/>
        <v>1.9142104037497096</v>
      </c>
      <c r="J101" s="200">
        <f t="shared" si="22"/>
        <v>14.560610403749706</v>
      </c>
      <c r="K101" s="200">
        <f t="shared" si="33"/>
        <v>-1.1550360283196044</v>
      </c>
      <c r="L101" s="201">
        <f t="shared" si="34"/>
        <v>3.036697501720421</v>
      </c>
      <c r="M101" s="202">
        <f t="shared" si="35"/>
        <v>0.1265290625716842</v>
      </c>
      <c r="N101" s="203">
        <f t="shared" si="36"/>
        <v>5.739661044105909</v>
      </c>
      <c r="O101" s="200">
        <f t="shared" si="23"/>
        <v>97.888979735037509</v>
      </c>
      <c r="P101" s="200">
        <f t="shared" si="24"/>
        <v>6.5259319823358339</v>
      </c>
      <c r="Q101" s="200">
        <f t="shared" si="25"/>
        <v>5.4740680176641661</v>
      </c>
      <c r="R101" s="200">
        <f t="shared" si="26"/>
        <v>18.525931982335834</v>
      </c>
      <c r="S101" s="204">
        <f t="shared" si="27"/>
        <v>0.30694444444444441</v>
      </c>
      <c r="T101" s="204">
        <f t="shared" si="28"/>
        <v>0.85069444444444453</v>
      </c>
      <c r="U101" s="205" t="str">
        <f t="shared" si="30"/>
        <v>E</v>
      </c>
      <c r="V101" s="272">
        <f t="shared" si="29"/>
        <v>2</v>
      </c>
      <c r="W101" s="207" t="str">
        <f>IF(Introduction!$E$7=1,CONCATENATE("🌞 ➚ ",TEXT(S101,"hh:mm")," ","➘ ",TEXT(T101,"hh:mm")),CONCATENATE("☼ ➚ ",TEXT(S101,"hh:mm")," ","➘ ",TEXT(T101,"hh:mm")))</f>
        <v>🌞 ➚ 07:22 ➘ 20:25</v>
      </c>
    </row>
    <row r="102" spans="6:23" x14ac:dyDescent="0.2">
      <c r="F102" s="198">
        <f t="shared" si="37"/>
        <v>44291</v>
      </c>
      <c r="G102" s="199">
        <f t="shared" si="31"/>
        <v>95</v>
      </c>
      <c r="H102" s="200">
        <f t="shared" si="21"/>
        <v>90.632000000000005</v>
      </c>
      <c r="I102" s="200">
        <f t="shared" si="32"/>
        <v>1.9134423781006173</v>
      </c>
      <c r="J102" s="200">
        <f t="shared" si="22"/>
        <v>15.545442378100631</v>
      </c>
      <c r="K102" s="200">
        <f t="shared" si="33"/>
        <v>-1.2265603191613046</v>
      </c>
      <c r="L102" s="201">
        <f t="shared" si="34"/>
        <v>2.747528235757251</v>
      </c>
      <c r="M102" s="202">
        <f t="shared" si="35"/>
        <v>0.11448034315655213</v>
      </c>
      <c r="N102" s="203">
        <f t="shared" si="36"/>
        <v>6.1200153483679571</v>
      </c>
      <c r="O102" s="200">
        <f t="shared" si="23"/>
        <v>98.334355257976284</v>
      </c>
      <c r="P102" s="200">
        <f t="shared" si="24"/>
        <v>6.5556236838650852</v>
      </c>
      <c r="Q102" s="200">
        <f t="shared" si="25"/>
        <v>5.4443763161349148</v>
      </c>
      <c r="R102" s="200">
        <f t="shared" si="26"/>
        <v>18.555623683865086</v>
      </c>
      <c r="S102" s="204">
        <f t="shared" si="27"/>
        <v>0.30555555555555552</v>
      </c>
      <c r="T102" s="204">
        <f t="shared" si="28"/>
        <v>0.8520833333333333</v>
      </c>
      <c r="U102" s="205" t="str">
        <f t="shared" si="30"/>
        <v>E</v>
      </c>
      <c r="V102" s="272">
        <f t="shared" si="29"/>
        <v>2</v>
      </c>
      <c r="W102" s="207" t="str">
        <f>IF(Introduction!$E$7=1,CONCATENATE("🌞 ➚ ",TEXT(S102,"hh:mm")," ","➘ ",TEXT(T102,"hh:mm")),CONCATENATE("☼ ➚ ",TEXT(S102,"hh:mm")," ","➘ ",TEXT(T102,"hh:mm")))</f>
        <v>🌞 ➚ 07:20 ➘ 20:27</v>
      </c>
    </row>
    <row r="103" spans="6:23" x14ac:dyDescent="0.2">
      <c r="F103" s="198">
        <f t="shared" si="37"/>
        <v>44292</v>
      </c>
      <c r="G103" s="199">
        <f t="shared" si="31"/>
        <v>96</v>
      </c>
      <c r="H103" s="200">
        <f t="shared" si="21"/>
        <v>91.617600000000039</v>
      </c>
      <c r="I103" s="200">
        <f t="shared" si="32"/>
        <v>1.9121085558650068</v>
      </c>
      <c r="J103" s="200">
        <f t="shared" si="22"/>
        <v>16.529708555865</v>
      </c>
      <c r="K103" s="200">
        <f t="shared" si="33"/>
        <v>-1.2967613560574041</v>
      </c>
      <c r="L103" s="201">
        <f t="shared" si="34"/>
        <v>2.4613887992304111</v>
      </c>
      <c r="M103" s="202">
        <f t="shared" si="35"/>
        <v>0.10255786663460047</v>
      </c>
      <c r="N103" s="203">
        <f t="shared" si="36"/>
        <v>6.498607083806708</v>
      </c>
      <c r="O103" s="200">
        <f t="shared" si="23"/>
        <v>98.778858642244046</v>
      </c>
      <c r="P103" s="200">
        <f t="shared" si="24"/>
        <v>6.5852572428162697</v>
      </c>
      <c r="Q103" s="200">
        <f t="shared" si="25"/>
        <v>5.4147427571837303</v>
      </c>
      <c r="R103" s="200">
        <f t="shared" si="26"/>
        <v>18.585257242816269</v>
      </c>
      <c r="S103" s="204">
        <f t="shared" si="27"/>
        <v>0.30416666666666664</v>
      </c>
      <c r="T103" s="204">
        <f t="shared" si="28"/>
        <v>0.85277777777777775</v>
      </c>
      <c r="U103" s="205" t="str">
        <f t="shared" si="30"/>
        <v>E</v>
      </c>
      <c r="V103" s="272">
        <f t="shared" si="29"/>
        <v>2</v>
      </c>
      <c r="W103" s="207" t="str">
        <f>IF(Introduction!$E$7=1,CONCATENATE("🌞 ➚ ",TEXT(S103,"hh:mm")," ","➘ ",TEXT(T103,"hh:mm")),CONCATENATE("☼ ➚ ",TEXT(S103,"hh:mm")," ","➘ ",TEXT(T103,"hh:mm")))</f>
        <v>🌞 ➚ 07:18 ➘ 20:28</v>
      </c>
    </row>
    <row r="104" spans="6:23" x14ac:dyDescent="0.2">
      <c r="F104" s="198">
        <f t="shared" si="37"/>
        <v>44293</v>
      </c>
      <c r="G104" s="199">
        <f t="shared" si="31"/>
        <v>97</v>
      </c>
      <c r="H104" s="200">
        <f t="shared" si="21"/>
        <v>92.603200000000015</v>
      </c>
      <c r="I104" s="200">
        <f t="shared" si="32"/>
        <v>1.9102099419682574</v>
      </c>
      <c r="J104" s="200">
        <f t="shared" si="22"/>
        <v>17.513409941968291</v>
      </c>
      <c r="K104" s="200">
        <f t="shared" si="33"/>
        <v>-1.3655642455947796</v>
      </c>
      <c r="L104" s="201">
        <f t="shared" si="34"/>
        <v>2.1785827854939113</v>
      </c>
      <c r="M104" s="202">
        <f t="shared" si="35"/>
        <v>9.0774282728912969E-2</v>
      </c>
      <c r="N104" s="203">
        <f t="shared" si="36"/>
        <v>6.8753406936132073</v>
      </c>
      <c r="O104" s="200">
        <f t="shared" si="23"/>
        <v>99.222431518046236</v>
      </c>
      <c r="P104" s="200">
        <f t="shared" si="24"/>
        <v>6.6148287678697493</v>
      </c>
      <c r="Q104" s="200">
        <f t="shared" si="25"/>
        <v>5.3851712321302507</v>
      </c>
      <c r="R104" s="200">
        <f t="shared" si="26"/>
        <v>18.614828767869749</v>
      </c>
      <c r="S104" s="204">
        <f t="shared" si="27"/>
        <v>0.30277777777777776</v>
      </c>
      <c r="T104" s="204">
        <f t="shared" si="28"/>
        <v>0.85416666666666663</v>
      </c>
      <c r="U104" s="205" t="str">
        <f t="shared" si="30"/>
        <v>E</v>
      </c>
      <c r="V104" s="272">
        <f t="shared" si="29"/>
        <v>2</v>
      </c>
      <c r="W104" s="207" t="str">
        <f>IF(Introduction!$E$7=1,CONCATENATE("🌞 ➚ ",TEXT(S104,"hh:mm")," ","➘ ",TEXT(T104,"hh:mm")),CONCATENATE("☼ ➚ ",TEXT(S104,"hh:mm")," ","➘ ",TEXT(T104,"hh:mm")))</f>
        <v>🌞 ➚ 07:16 ➘ 20:30</v>
      </c>
    </row>
    <row r="105" spans="6:23" x14ac:dyDescent="0.2">
      <c r="F105" s="198">
        <f t="shared" si="37"/>
        <v>44294</v>
      </c>
      <c r="G105" s="199">
        <f t="shared" si="31"/>
        <v>98</v>
      </c>
      <c r="H105" s="200">
        <f t="shared" si="21"/>
        <v>93.588799999999992</v>
      </c>
      <c r="I105" s="200">
        <f t="shared" si="32"/>
        <v>1.9077477072720737</v>
      </c>
      <c r="J105" s="200">
        <f t="shared" si="22"/>
        <v>18.496547707272043</v>
      </c>
      <c r="K105" s="200">
        <f t="shared" si="33"/>
        <v>-1.4328951566546533</v>
      </c>
      <c r="L105" s="201">
        <f t="shared" si="34"/>
        <v>1.8994102024696815</v>
      </c>
      <c r="M105" s="202">
        <f t="shared" si="35"/>
        <v>7.9142091769570058E-2</v>
      </c>
      <c r="N105" s="203">
        <f t="shared" si="36"/>
        <v>7.2501208629800926</v>
      </c>
      <c r="O105" s="200">
        <f t="shared" si="23"/>
        <v>99.6650135393959</v>
      </c>
      <c r="P105" s="200">
        <f t="shared" si="24"/>
        <v>6.6443342359597271</v>
      </c>
      <c r="Q105" s="200">
        <f t="shared" si="25"/>
        <v>5.3556657640402729</v>
      </c>
      <c r="R105" s="200">
        <f t="shared" si="26"/>
        <v>18.644334235959725</v>
      </c>
      <c r="S105" s="204">
        <f t="shared" si="27"/>
        <v>0.30138888888888887</v>
      </c>
      <c r="T105" s="204">
        <f t="shared" si="28"/>
        <v>0.85486111111111107</v>
      </c>
      <c r="U105" s="205" t="str">
        <f t="shared" si="30"/>
        <v>E</v>
      </c>
      <c r="V105" s="272">
        <f t="shared" si="29"/>
        <v>2</v>
      </c>
      <c r="W105" s="207" t="str">
        <f>IF(Introduction!$E$7=1,CONCATENATE("🌞 ➚ ",TEXT(S105,"hh:mm")," ","➘ ",TEXT(T105,"hh:mm")),CONCATENATE("☼ ➚ ",TEXT(S105,"hh:mm")," ","➘ ",TEXT(T105,"hh:mm")))</f>
        <v>🌞 ➚ 07:14 ➘ 20:31</v>
      </c>
    </row>
    <row r="106" spans="6:23" x14ac:dyDescent="0.2">
      <c r="F106" s="198">
        <f t="shared" si="37"/>
        <v>44295</v>
      </c>
      <c r="G106" s="199">
        <f t="shared" si="31"/>
        <v>99</v>
      </c>
      <c r="H106" s="200">
        <f t="shared" si="21"/>
        <v>94.574399999999969</v>
      </c>
      <c r="I106" s="200">
        <f t="shared" si="32"/>
        <v>1.9047231875071957</v>
      </c>
      <c r="J106" s="200">
        <f t="shared" si="22"/>
        <v>19.479123187507184</v>
      </c>
      <c r="K106" s="200">
        <f t="shared" si="33"/>
        <v>-1.4986813804832615</v>
      </c>
      <c r="L106" s="201">
        <f t="shared" si="34"/>
        <v>1.6241672280957369</v>
      </c>
      <c r="M106" s="202">
        <f t="shared" si="35"/>
        <v>6.7673634503989041E-2</v>
      </c>
      <c r="N106" s="203">
        <f t="shared" si="36"/>
        <v>7.6228525141844479</v>
      </c>
      <c r="O106" s="200">
        <f t="shared" si="23"/>
        <v>100.1065422599813</v>
      </c>
      <c r="P106" s="200">
        <f t="shared" si="24"/>
        <v>6.6737694839987531</v>
      </c>
      <c r="Q106" s="200">
        <f t="shared" si="25"/>
        <v>5.3262305160012469</v>
      </c>
      <c r="R106" s="200">
        <f t="shared" si="26"/>
        <v>18.673769483998754</v>
      </c>
      <c r="S106" s="204">
        <f t="shared" si="27"/>
        <v>0.3</v>
      </c>
      <c r="T106" s="204">
        <f t="shared" si="28"/>
        <v>0.85625000000000007</v>
      </c>
      <c r="U106" s="205" t="str">
        <f t="shared" si="30"/>
        <v>E</v>
      </c>
      <c r="V106" s="272">
        <f t="shared" si="29"/>
        <v>2</v>
      </c>
      <c r="W106" s="207" t="str">
        <f>IF(Introduction!$E$7=1,CONCATENATE("🌞 ➚ ",TEXT(S106,"hh:mm")," ","➘ ",TEXT(T106,"hh:mm")),CONCATENATE("☼ ➚ ",TEXT(S106,"hh:mm")," ","➘ ",TEXT(T106,"hh:mm")))</f>
        <v>🌞 ➚ 07:12 ➘ 20:33</v>
      </c>
    </row>
    <row r="107" spans="6:23" x14ac:dyDescent="0.2">
      <c r="F107" s="198">
        <f t="shared" si="37"/>
        <v>44296</v>
      </c>
      <c r="G107" s="199">
        <f t="shared" si="31"/>
        <v>100</v>
      </c>
      <c r="H107" s="200">
        <f t="shared" si="21"/>
        <v>95.56</v>
      </c>
      <c r="I107" s="200">
        <f t="shared" si="32"/>
        <v>1.9011378821595797</v>
      </c>
      <c r="J107" s="200">
        <f t="shared" si="22"/>
        <v>20.461137882159562</v>
      </c>
      <c r="K107" s="200">
        <f t="shared" si="33"/>
        <v>-1.5628513929239904</v>
      </c>
      <c r="L107" s="201">
        <f t="shared" si="34"/>
        <v>1.353145956942357</v>
      </c>
      <c r="M107" s="202">
        <f t="shared" si="35"/>
        <v>5.6381081539264875E-2</v>
      </c>
      <c r="N107" s="203">
        <f t="shared" si="36"/>
        <v>7.993440802617485</v>
      </c>
      <c r="O107" s="200">
        <f t="shared" si="23"/>
        <v>100.54695301005714</v>
      </c>
      <c r="P107" s="200">
        <f t="shared" si="24"/>
        <v>6.7031302006704756</v>
      </c>
      <c r="Q107" s="200">
        <f t="shared" si="25"/>
        <v>5.2968697993295244</v>
      </c>
      <c r="R107" s="200">
        <f t="shared" si="26"/>
        <v>18.703130200670476</v>
      </c>
      <c r="S107" s="204">
        <f t="shared" si="27"/>
        <v>0.2986111111111111</v>
      </c>
      <c r="T107" s="204">
        <f t="shared" si="28"/>
        <v>0.8569444444444444</v>
      </c>
      <c r="U107" s="205" t="str">
        <f t="shared" si="30"/>
        <v>E</v>
      </c>
      <c r="V107" s="272">
        <f t="shared" si="29"/>
        <v>2</v>
      </c>
      <c r="W107" s="207" t="str">
        <f>IF(Introduction!$E$7=1,CONCATENATE("🌞 ➚ ",TEXT(S107,"hh:mm")," ","➘ ",TEXT(T107,"hh:mm")),CONCATENATE("☼ ➚ ",TEXT(S107,"hh:mm")," ","➘ ",TEXT(T107,"hh:mm")))</f>
        <v>🌞 ➚ 07:10 ➘ 20:34</v>
      </c>
    </row>
    <row r="108" spans="6:23" x14ac:dyDescent="0.2">
      <c r="F108" s="198">
        <f t="shared" si="37"/>
        <v>44297</v>
      </c>
      <c r="G108" s="199">
        <f t="shared" si="31"/>
        <v>101</v>
      </c>
      <c r="H108" s="200">
        <f t="shared" si="21"/>
        <v>96.545600000000036</v>
      </c>
      <c r="I108" s="200">
        <f t="shared" si="32"/>
        <v>1.8969934533112309</v>
      </c>
      <c r="J108" s="200">
        <f t="shared" si="22"/>
        <v>21.442593453311247</v>
      </c>
      <c r="K108" s="200">
        <f t="shared" si="33"/>
        <v>-1.6253349187956845</v>
      </c>
      <c r="L108" s="201">
        <f t="shared" si="34"/>
        <v>1.0866341380621858</v>
      </c>
      <c r="M108" s="202">
        <f t="shared" si="35"/>
        <v>4.5276422419257743E-2</v>
      </c>
      <c r="N108" s="203">
        <f t="shared" si="36"/>
        <v>8.3617911138207894</v>
      </c>
      <c r="O108" s="200">
        <f t="shared" si="23"/>
        <v>100.9861787745002</v>
      </c>
      <c r="P108" s="200">
        <f t="shared" si="24"/>
        <v>6.7324119183000137</v>
      </c>
      <c r="Q108" s="200">
        <f t="shared" si="25"/>
        <v>5.2675880816999863</v>
      </c>
      <c r="R108" s="200">
        <f t="shared" si="26"/>
        <v>18.732411918300013</v>
      </c>
      <c r="S108" s="204">
        <f t="shared" si="27"/>
        <v>0.29722222222222222</v>
      </c>
      <c r="T108" s="204">
        <f t="shared" si="28"/>
        <v>0.85833333333333339</v>
      </c>
      <c r="U108" s="205" t="str">
        <f t="shared" si="30"/>
        <v>E</v>
      </c>
      <c r="V108" s="272">
        <f t="shared" si="29"/>
        <v>2</v>
      </c>
      <c r="W108" s="207" t="str">
        <f>IF(Introduction!$E$7=1,CONCATENATE("🌞 ➚ ",TEXT(S108,"hh:mm")," ","➘ ",TEXT(T108,"hh:mm")),CONCATENATE("☼ ➚ ",TEXT(S108,"hh:mm")," ","➘ ",TEXT(T108,"hh:mm")))</f>
        <v>🌞 ➚ 07:08 ➘ 20:36</v>
      </c>
    </row>
    <row r="109" spans="6:23" x14ac:dyDescent="0.2">
      <c r="F109" s="198">
        <f t="shared" si="37"/>
        <v>44298</v>
      </c>
      <c r="G109" s="199">
        <f t="shared" si="31"/>
        <v>102</v>
      </c>
      <c r="H109" s="200">
        <f t="shared" si="21"/>
        <v>97.531200000000013</v>
      </c>
      <c r="I109" s="200">
        <f t="shared" si="32"/>
        <v>1.8922917244368771</v>
      </c>
      <c r="J109" s="200">
        <f t="shared" si="22"/>
        <v>22.423491724436872</v>
      </c>
      <c r="K109" s="200">
        <f t="shared" si="33"/>
        <v>-1.6860629983807003</v>
      </c>
      <c r="L109" s="201">
        <f t="shared" si="34"/>
        <v>0.82491490422470726</v>
      </c>
      <c r="M109" s="202">
        <f t="shared" si="35"/>
        <v>3.4371454342696138E-2</v>
      </c>
      <c r="N109" s="203">
        <f t="shared" si="36"/>
        <v>8.7278090615866208</v>
      </c>
      <c r="O109" s="200">
        <f t="shared" si="23"/>
        <v>101.42415007219091</v>
      </c>
      <c r="P109" s="200">
        <f t="shared" si="24"/>
        <v>6.7616100048127272</v>
      </c>
      <c r="Q109" s="200">
        <f t="shared" si="25"/>
        <v>5.2383899951872728</v>
      </c>
      <c r="R109" s="200">
        <f t="shared" si="26"/>
        <v>18.761610004812727</v>
      </c>
      <c r="S109" s="204">
        <f t="shared" si="27"/>
        <v>0.29583333333333334</v>
      </c>
      <c r="T109" s="204">
        <f t="shared" si="28"/>
        <v>0.85902777777777783</v>
      </c>
      <c r="U109" s="205" t="str">
        <f t="shared" si="30"/>
        <v>E</v>
      </c>
      <c r="V109" s="272">
        <f t="shared" si="29"/>
        <v>2</v>
      </c>
      <c r="W109" s="207" t="str">
        <f>IF(Introduction!$E$7=1,CONCATENATE("🌞 ➚ ",TEXT(S109,"hh:mm")," ","➘ ",TEXT(T109,"hh:mm")),CONCATENATE("☼ ➚ ",TEXT(S109,"hh:mm")," ","➘ ",TEXT(T109,"hh:mm")))</f>
        <v>🌞 ➚ 07:06 ➘ 20:37</v>
      </c>
    </row>
    <row r="110" spans="6:23" x14ac:dyDescent="0.2">
      <c r="F110" s="198">
        <f t="shared" si="37"/>
        <v>44299</v>
      </c>
      <c r="G110" s="199">
        <f t="shared" si="31"/>
        <v>103</v>
      </c>
      <c r="H110" s="200">
        <f t="shared" si="21"/>
        <v>98.516799999999989</v>
      </c>
      <c r="I110" s="200">
        <f t="shared" si="32"/>
        <v>1.8870346791576815</v>
      </c>
      <c r="J110" s="200">
        <f t="shared" si="22"/>
        <v>23.403834679157683</v>
      </c>
      <c r="K110" s="200">
        <f t="shared" si="33"/>
        <v>-1.7449680559658018</v>
      </c>
      <c r="L110" s="201">
        <f t="shared" si="34"/>
        <v>0.56826649276751873</v>
      </c>
      <c r="M110" s="202">
        <f t="shared" si="35"/>
        <v>2.3677770531979947E-2</v>
      </c>
      <c r="N110" s="203">
        <f t="shared" si="36"/>
        <v>9.0914004871802785</v>
      </c>
      <c r="O110" s="200">
        <f t="shared" si="23"/>
        <v>101.86079483690644</v>
      </c>
      <c r="P110" s="200">
        <f t="shared" si="24"/>
        <v>6.7907196557937626</v>
      </c>
      <c r="Q110" s="200">
        <f t="shared" si="25"/>
        <v>5.2092803442062374</v>
      </c>
      <c r="R110" s="200">
        <f t="shared" si="26"/>
        <v>18.790719655793762</v>
      </c>
      <c r="S110" s="204">
        <f t="shared" si="27"/>
        <v>0.29444444444444445</v>
      </c>
      <c r="T110" s="204">
        <f t="shared" si="28"/>
        <v>0.86041666666666661</v>
      </c>
      <c r="U110" s="205" t="str">
        <f t="shared" si="30"/>
        <v>E</v>
      </c>
      <c r="V110" s="272">
        <f t="shared" si="29"/>
        <v>2</v>
      </c>
      <c r="W110" s="207" t="str">
        <f>IF(Introduction!$E$7=1,CONCATENATE("🌞 ➚ ",TEXT(S110,"hh:mm")," ","➘ ",TEXT(T110,"hh:mm")),CONCATENATE("☼ ➚ ",TEXT(S110,"hh:mm")," ","➘ ",TEXT(T110,"hh:mm")))</f>
        <v>🌞 ➚ 07:04 ➘ 20:39</v>
      </c>
    </row>
    <row r="111" spans="6:23" x14ac:dyDescent="0.2">
      <c r="F111" s="198">
        <f t="shared" si="37"/>
        <v>44300</v>
      </c>
      <c r="G111" s="199">
        <f t="shared" si="31"/>
        <v>104</v>
      </c>
      <c r="H111" s="200">
        <f t="shared" si="21"/>
        <v>99.502400000000023</v>
      </c>
      <c r="I111" s="200">
        <f t="shared" si="32"/>
        <v>1.8812244599532018</v>
      </c>
      <c r="J111" s="200">
        <f t="shared" si="22"/>
        <v>24.383624459953239</v>
      </c>
      <c r="K111" s="200">
        <f t="shared" si="33"/>
        <v>-1.8019839703584342</v>
      </c>
      <c r="L111" s="201">
        <f t="shared" si="34"/>
        <v>0.31696195837907037</v>
      </c>
      <c r="M111" s="202">
        <f t="shared" si="35"/>
        <v>1.3206748265794599E-2</v>
      </c>
      <c r="N111" s="203">
        <f t="shared" si="36"/>
        <v>9.4524714597407353</v>
      </c>
      <c r="O111" s="200">
        <f t="shared" si="23"/>
        <v>102.29603829993387</v>
      </c>
      <c r="P111" s="200">
        <f t="shared" si="24"/>
        <v>6.8197358866622579</v>
      </c>
      <c r="Q111" s="200">
        <f t="shared" si="25"/>
        <v>5.1802641133377421</v>
      </c>
      <c r="R111" s="200">
        <f t="shared" si="26"/>
        <v>18.819735886662258</v>
      </c>
      <c r="S111" s="204">
        <f t="shared" si="27"/>
        <v>0.29305555555555557</v>
      </c>
      <c r="T111" s="204">
        <f t="shared" si="28"/>
        <v>0.86111111111111116</v>
      </c>
      <c r="U111" s="205" t="str">
        <f t="shared" si="30"/>
        <v>E</v>
      </c>
      <c r="V111" s="272">
        <f t="shared" si="29"/>
        <v>2</v>
      </c>
      <c r="W111" s="207" t="str">
        <f>IF(Introduction!$E$7=1,CONCATENATE("🌞 ➚ ",TEXT(S111,"hh:mm")," ","➘ ",TEXT(T111,"hh:mm")),CONCATENATE("☼ ➚ ",TEXT(S111,"hh:mm")," ","➘ ",TEXT(T111,"hh:mm")))</f>
        <v>🌞 ➚ 07:02 ➘ 20:40</v>
      </c>
    </row>
    <row r="112" spans="6:23" x14ac:dyDescent="0.2">
      <c r="F112" s="198">
        <f t="shared" si="37"/>
        <v>44301</v>
      </c>
      <c r="G112" s="199">
        <f t="shared" si="31"/>
        <v>105</v>
      </c>
      <c r="H112" s="200">
        <f t="shared" si="21"/>
        <v>100.488</v>
      </c>
      <c r="I112" s="200">
        <f t="shared" si="32"/>
        <v>1.8748633668328061</v>
      </c>
      <c r="J112" s="200">
        <f t="shared" si="22"/>
        <v>25.362863366832812</v>
      </c>
      <c r="K112" s="200">
        <f t="shared" si="33"/>
        <v>-1.8570461472810476</v>
      </c>
      <c r="L112" s="201">
        <f t="shared" si="34"/>
        <v>7.1268878207034092E-2</v>
      </c>
      <c r="M112" s="202">
        <f t="shared" si="35"/>
        <v>2.9695365919597538E-3</v>
      </c>
      <c r="N112" s="203">
        <f t="shared" si="36"/>
        <v>9.8109282779156057</v>
      </c>
      <c r="O112" s="200">
        <f t="shared" si="23"/>
        <v>102.72980287463918</v>
      </c>
      <c r="P112" s="200">
        <f t="shared" si="24"/>
        <v>6.848653524975945</v>
      </c>
      <c r="Q112" s="200">
        <f t="shared" si="25"/>
        <v>5.151346475024055</v>
      </c>
      <c r="R112" s="200">
        <f t="shared" si="26"/>
        <v>18.848653524975944</v>
      </c>
      <c r="S112" s="204">
        <f t="shared" si="27"/>
        <v>0.29166666666666669</v>
      </c>
      <c r="T112" s="204">
        <f t="shared" si="28"/>
        <v>0.86249999999999993</v>
      </c>
      <c r="U112" s="205" t="str">
        <f t="shared" si="30"/>
        <v>E</v>
      </c>
      <c r="V112" s="272">
        <f t="shared" si="29"/>
        <v>2</v>
      </c>
      <c r="W112" s="207" t="str">
        <f>IF(Introduction!$E$7=1,CONCATENATE("🌞 ➚ ",TEXT(S112,"hh:mm")," ","➘ ",TEXT(T112,"hh:mm")),CONCATENATE("☼ ➚ ",TEXT(S112,"hh:mm")," ","➘ ",TEXT(T112,"hh:mm")))</f>
        <v>🌞 ➚ 07:00 ➘ 20:42</v>
      </c>
    </row>
    <row r="113" spans="6:23" x14ac:dyDescent="0.2">
      <c r="F113" s="198">
        <f t="shared" si="37"/>
        <v>44302</v>
      </c>
      <c r="G113" s="199">
        <f t="shared" si="31"/>
        <v>106</v>
      </c>
      <c r="H113" s="200">
        <f t="shared" si="21"/>
        <v>101.47360000000003</v>
      </c>
      <c r="I113" s="200">
        <f t="shared" si="32"/>
        <v>1.8679538559677522</v>
      </c>
      <c r="J113" s="200">
        <f t="shared" si="22"/>
        <v>26.341553855967732</v>
      </c>
      <c r="K113" s="200">
        <f t="shared" si="33"/>
        <v>-1.9100915935265805</v>
      </c>
      <c r="L113" s="201">
        <f t="shared" si="34"/>
        <v>-0.1685509502353133</v>
      </c>
      <c r="M113" s="202">
        <f t="shared" si="35"/>
        <v>7.0229562598047206E-3</v>
      </c>
      <c r="N113" s="203">
        <f t="shared" si="36"/>
        <v>10.166677472785169</v>
      </c>
      <c r="O113" s="200">
        <f t="shared" si="23"/>
        <v>103.16200804325271</v>
      </c>
      <c r="P113" s="200">
        <f t="shared" si="24"/>
        <v>6.8774672028835138</v>
      </c>
      <c r="Q113" s="200">
        <f t="shared" si="25"/>
        <v>5.1225327971164862</v>
      </c>
      <c r="R113" s="200">
        <f t="shared" si="26"/>
        <v>18.877467202883516</v>
      </c>
      <c r="S113" s="204">
        <f t="shared" si="27"/>
        <v>0.2902777777777778</v>
      </c>
      <c r="T113" s="204">
        <f t="shared" si="28"/>
        <v>0.86319444444444438</v>
      </c>
      <c r="U113" s="205" t="str">
        <f t="shared" si="30"/>
        <v>E</v>
      </c>
      <c r="V113" s="272">
        <f t="shared" si="29"/>
        <v>2</v>
      </c>
      <c r="W113" s="207" t="str">
        <f>IF(Introduction!$E$7=1,CONCATENATE("🌞 ➚ ",TEXT(S113,"hh:mm")," ","➘ ",TEXT(T113,"hh:mm")),CONCATENATE("☼ ➚ ",TEXT(S113,"hh:mm")," ","➘ ",TEXT(T113,"hh:mm")))</f>
        <v>🌞 ➚ 06:58 ➘ 20:43</v>
      </c>
    </row>
    <row r="114" spans="6:23" x14ac:dyDescent="0.2">
      <c r="F114" s="198">
        <f t="shared" si="37"/>
        <v>44303</v>
      </c>
      <c r="G114" s="199">
        <f t="shared" si="31"/>
        <v>107</v>
      </c>
      <c r="H114" s="200">
        <f t="shared" si="21"/>
        <v>102.45920000000001</v>
      </c>
      <c r="I114" s="200">
        <f t="shared" si="32"/>
        <v>1.860498538285168</v>
      </c>
      <c r="J114" s="200">
        <f t="shared" si="22"/>
        <v>27.319698538285195</v>
      </c>
      <c r="K114" s="200">
        <f t="shared" si="33"/>
        <v>-1.961058992739279</v>
      </c>
      <c r="L114" s="201">
        <f t="shared" si="34"/>
        <v>-0.40224181781644397</v>
      </c>
      <c r="M114" s="202">
        <f t="shared" si="35"/>
        <v>1.6760075742351832E-2</v>
      </c>
      <c r="N114" s="203">
        <f t="shared" si="36"/>
        <v>10.51962581212881</v>
      </c>
      <c r="O114" s="200">
        <f t="shared" si="23"/>
        <v>103.59257024616134</v>
      </c>
      <c r="P114" s="200">
        <f t="shared" si="24"/>
        <v>6.9061713497440893</v>
      </c>
      <c r="Q114" s="200">
        <f t="shared" si="25"/>
        <v>5.0938286502559107</v>
      </c>
      <c r="R114" s="200">
        <f t="shared" si="26"/>
        <v>18.906171349744088</v>
      </c>
      <c r="S114" s="204">
        <f t="shared" si="27"/>
        <v>0.28888888888888892</v>
      </c>
      <c r="T114" s="204">
        <f t="shared" si="28"/>
        <v>0.86458333333333337</v>
      </c>
      <c r="U114" s="205" t="str">
        <f t="shared" si="30"/>
        <v>E</v>
      </c>
      <c r="V114" s="272">
        <f t="shared" si="29"/>
        <v>2</v>
      </c>
      <c r="W114" s="207" t="str">
        <f>IF(Introduction!$E$7=1,CONCATENATE("🌞 ➚ ",TEXT(S114,"hh:mm")," ","➘ ",TEXT(T114,"hh:mm")),CONCATENATE("☼ ➚ ",TEXT(S114,"hh:mm")," ","➘ ",TEXT(T114,"hh:mm")))</f>
        <v>🌞 ➚ 06:56 ➘ 20:45</v>
      </c>
    </row>
    <row r="115" spans="6:23" x14ac:dyDescent="0.2">
      <c r="F115" s="198">
        <f t="shared" si="37"/>
        <v>44304</v>
      </c>
      <c r="G115" s="199">
        <f t="shared" si="31"/>
        <v>108</v>
      </c>
      <c r="H115" s="200">
        <f t="shared" si="21"/>
        <v>103.44479999999999</v>
      </c>
      <c r="I115" s="200">
        <f t="shared" si="32"/>
        <v>1.8525001780251282</v>
      </c>
      <c r="J115" s="200">
        <f t="shared" si="22"/>
        <v>28.297300178025125</v>
      </c>
      <c r="K115" s="200">
        <f t="shared" si="33"/>
        <v>-2.0098887826668719</v>
      </c>
      <c r="L115" s="201">
        <f t="shared" si="34"/>
        <v>-0.62955441856697458</v>
      </c>
      <c r="M115" s="202">
        <f t="shared" si="35"/>
        <v>2.6231434106957274E-2</v>
      </c>
      <c r="N115" s="203">
        <f t="shared" si="36"/>
        <v>10.869680306086321</v>
      </c>
      <c r="O115" s="200">
        <f t="shared" si="23"/>
        <v>104.02140277402599</v>
      </c>
      <c r="P115" s="200">
        <f t="shared" si="24"/>
        <v>6.9347601849350662</v>
      </c>
      <c r="Q115" s="200">
        <f t="shared" si="25"/>
        <v>5.0652398150649338</v>
      </c>
      <c r="R115" s="200">
        <f t="shared" si="26"/>
        <v>18.934760184935065</v>
      </c>
      <c r="S115" s="204">
        <f t="shared" si="27"/>
        <v>0.28750000000000003</v>
      </c>
      <c r="T115" s="204">
        <f t="shared" si="28"/>
        <v>0.8652777777777777</v>
      </c>
      <c r="U115" s="205" t="str">
        <f t="shared" si="30"/>
        <v>E</v>
      </c>
      <c r="V115" s="272">
        <f t="shared" si="29"/>
        <v>2</v>
      </c>
      <c r="W115" s="207" t="str">
        <f>IF(Introduction!$E$7=1,CONCATENATE("🌞 ➚ ",TEXT(S115,"hh:mm")," ","➘ ",TEXT(T115,"hh:mm")),CONCATENATE("☼ ➚ ",TEXT(S115,"hh:mm")," ","➘ ",TEXT(T115,"hh:mm")))</f>
        <v>🌞 ➚ 06:54 ➘ 20:46</v>
      </c>
    </row>
    <row r="116" spans="6:23" x14ac:dyDescent="0.2">
      <c r="F116" s="198">
        <f t="shared" si="37"/>
        <v>44305</v>
      </c>
      <c r="G116" s="199">
        <f t="shared" si="31"/>
        <v>109</v>
      </c>
      <c r="H116" s="200">
        <f t="shared" si="21"/>
        <v>104.43040000000002</v>
      </c>
      <c r="I116" s="200">
        <f t="shared" si="32"/>
        <v>1.8439616912620713</v>
      </c>
      <c r="J116" s="200">
        <f t="shared" si="22"/>
        <v>29.274361691262072</v>
      </c>
      <c r="K116" s="200">
        <f t="shared" si="33"/>
        <v>-2.0565232337127126</v>
      </c>
      <c r="L116" s="201">
        <f t="shared" si="34"/>
        <v>-0.85024616980256518</v>
      </c>
      <c r="M116" s="202">
        <f t="shared" si="35"/>
        <v>3.5426923741773551E-2</v>
      </c>
      <c r="N116" s="203">
        <f t="shared" si="36"/>
        <v>11.216748214265156</v>
      </c>
      <c r="O116" s="200">
        <f t="shared" si="23"/>
        <v>104.44841566307356</v>
      </c>
      <c r="P116" s="200">
        <f t="shared" si="24"/>
        <v>6.9632277108715703</v>
      </c>
      <c r="Q116" s="200">
        <f t="shared" si="25"/>
        <v>5.0367722891284297</v>
      </c>
      <c r="R116" s="200">
        <f t="shared" si="26"/>
        <v>18.963227710871571</v>
      </c>
      <c r="S116" s="204">
        <f t="shared" si="27"/>
        <v>0.28611111111111115</v>
      </c>
      <c r="T116" s="204">
        <f t="shared" si="28"/>
        <v>0.8666666666666667</v>
      </c>
      <c r="U116" s="205" t="str">
        <f t="shared" si="30"/>
        <v>E</v>
      </c>
      <c r="V116" s="272">
        <f t="shared" si="29"/>
        <v>2</v>
      </c>
      <c r="W116" s="207" t="str">
        <f>IF(Introduction!$E$7=1,CONCATENATE("🌞 ➚ ",TEXT(S116,"hh:mm")," ","➘ ",TEXT(T116,"hh:mm")),CONCATENATE("☼ ➚ ",TEXT(S116,"hh:mm")," ","➘ ",TEXT(T116,"hh:mm")))</f>
        <v>🌞 ➚ 06:52 ➘ 20:48</v>
      </c>
    </row>
    <row r="117" spans="6:23" x14ac:dyDescent="0.2">
      <c r="F117" s="198">
        <f t="shared" si="37"/>
        <v>44306</v>
      </c>
      <c r="G117" s="199">
        <f t="shared" si="31"/>
        <v>110</v>
      </c>
      <c r="H117" s="200">
        <f t="shared" si="21"/>
        <v>105.416</v>
      </c>
      <c r="I117" s="200">
        <f t="shared" si="32"/>
        <v>1.8348861443917581</v>
      </c>
      <c r="J117" s="200">
        <f t="shared" si="22"/>
        <v>30.250886144391757</v>
      </c>
      <c r="K117" s="200">
        <f t="shared" si="33"/>
        <v>-2.1009065285997903</v>
      </c>
      <c r="L117" s="201">
        <f t="shared" si="34"/>
        <v>-1.0640815368321288</v>
      </c>
      <c r="M117" s="202">
        <f t="shared" si="35"/>
        <v>4.43367307013387E-2</v>
      </c>
      <c r="N117" s="203">
        <f t="shared" si="36"/>
        <v>11.560737054342358</v>
      </c>
      <c r="O117" s="200">
        <f t="shared" si="23"/>
        <v>104.87351559394352</v>
      </c>
      <c r="P117" s="200">
        <f t="shared" si="24"/>
        <v>6.9915677062629014</v>
      </c>
      <c r="Q117" s="200">
        <f t="shared" si="25"/>
        <v>5.0084322937370986</v>
      </c>
      <c r="R117" s="200">
        <f t="shared" si="26"/>
        <v>18.991567706262902</v>
      </c>
      <c r="S117" s="204">
        <f t="shared" si="27"/>
        <v>0.28472222222222221</v>
      </c>
      <c r="T117" s="204">
        <f t="shared" si="28"/>
        <v>0.86736111111111114</v>
      </c>
      <c r="U117" s="205" t="str">
        <f t="shared" si="30"/>
        <v>E</v>
      </c>
      <c r="V117" s="272">
        <f t="shared" si="29"/>
        <v>2</v>
      </c>
      <c r="W117" s="207" t="str">
        <f>IF(Introduction!$E$7=1,CONCATENATE("🌞 ➚ ",TEXT(S117,"hh:mm")," ","➘ ",TEXT(T117,"hh:mm")),CONCATENATE("☼ ➚ ",TEXT(S117,"hh:mm")," ","➘ ",TEXT(T117,"hh:mm")))</f>
        <v>🌞 ➚ 06:50 ➘ 20:49</v>
      </c>
    </row>
    <row r="118" spans="6:23" x14ac:dyDescent="0.2">
      <c r="F118" s="198">
        <f t="shared" si="37"/>
        <v>44307</v>
      </c>
      <c r="G118" s="199">
        <f t="shared" si="31"/>
        <v>111</v>
      </c>
      <c r="H118" s="200">
        <f t="shared" si="21"/>
        <v>106.40160000000003</v>
      </c>
      <c r="I118" s="200">
        <f t="shared" si="32"/>
        <v>1.825276752584998</v>
      </c>
      <c r="J118" s="200">
        <f t="shared" si="22"/>
        <v>31.226876752584985</v>
      </c>
      <c r="K118" s="200">
        <f t="shared" si="33"/>
        <v>-2.1429848429430698</v>
      </c>
      <c r="L118" s="201">
        <f t="shared" si="34"/>
        <v>-1.2708323614322872</v>
      </c>
      <c r="M118" s="202">
        <f t="shared" si="35"/>
        <v>5.2951348393011965E-2</v>
      </c>
      <c r="N118" s="203">
        <f t="shared" si="36"/>
        <v>11.901554612209095</v>
      </c>
      <c r="O118" s="200">
        <f t="shared" si="23"/>
        <v>105.29660579450217</v>
      </c>
      <c r="P118" s="200">
        <f t="shared" si="24"/>
        <v>7.019773719633478</v>
      </c>
      <c r="Q118" s="200">
        <f t="shared" si="25"/>
        <v>4.980226280366522</v>
      </c>
      <c r="R118" s="200">
        <f t="shared" si="26"/>
        <v>19.019773719633477</v>
      </c>
      <c r="S118" s="204">
        <f t="shared" si="27"/>
        <v>0.28333333333333333</v>
      </c>
      <c r="T118" s="204">
        <f t="shared" si="28"/>
        <v>0.86875000000000002</v>
      </c>
      <c r="U118" s="205" t="str">
        <f t="shared" si="30"/>
        <v>E</v>
      </c>
      <c r="V118" s="272">
        <f t="shared" si="29"/>
        <v>2</v>
      </c>
      <c r="W118" s="207" t="str">
        <f>IF(Introduction!$E$7=1,CONCATENATE("🌞 ➚ ",TEXT(S118,"hh:mm")," ","➘ ",TEXT(T118,"hh:mm")),CONCATENATE("☼ ➚ ",TEXT(S118,"hh:mm")," ","➘ ",TEXT(T118,"hh:mm")))</f>
        <v>🌞 ➚ 06:48 ➘ 20:51</v>
      </c>
    </row>
    <row r="119" spans="6:23" x14ac:dyDescent="0.2">
      <c r="F119" s="198">
        <f t="shared" si="37"/>
        <v>44308</v>
      </c>
      <c r="G119" s="199">
        <f t="shared" si="31"/>
        <v>112</v>
      </c>
      <c r="H119" s="200">
        <f t="shared" si="21"/>
        <v>107.38720000000001</v>
      </c>
      <c r="I119" s="200">
        <f t="shared" si="32"/>
        <v>1.8151368782093591</v>
      </c>
      <c r="J119" s="200">
        <f t="shared" si="22"/>
        <v>32.202336878209394</v>
      </c>
      <c r="K119" s="200">
        <f t="shared" si="33"/>
        <v>-2.182706426511857</v>
      </c>
      <c r="L119" s="201">
        <f t="shared" si="34"/>
        <v>-1.4702781932099915</v>
      </c>
      <c r="M119" s="202">
        <f t="shared" si="35"/>
        <v>6.1261591383749647E-2</v>
      </c>
      <c r="N119" s="203">
        <f t="shared" si="36"/>
        <v>12.239108953703022</v>
      </c>
      <c r="O119" s="200">
        <f t="shared" si="23"/>
        <v>105.71758594706949</v>
      </c>
      <c r="P119" s="200">
        <f t="shared" si="24"/>
        <v>7.0478390631379666</v>
      </c>
      <c r="Q119" s="200">
        <f t="shared" si="25"/>
        <v>4.9521609368620334</v>
      </c>
      <c r="R119" s="200">
        <f t="shared" si="26"/>
        <v>19.047839063137967</v>
      </c>
      <c r="S119" s="204">
        <f t="shared" si="27"/>
        <v>0.28194444444444444</v>
      </c>
      <c r="T119" s="204">
        <f t="shared" si="28"/>
        <v>0.86944444444444446</v>
      </c>
      <c r="U119" s="205" t="str">
        <f t="shared" si="30"/>
        <v>E</v>
      </c>
      <c r="V119" s="272">
        <f t="shared" si="29"/>
        <v>2</v>
      </c>
      <c r="W119" s="207" t="str">
        <f>IF(Introduction!$E$7=1,CONCATENATE("🌞 ➚ ",TEXT(S119,"hh:mm")," ","➘ ",TEXT(T119,"hh:mm")),CONCATENATE("☼ ➚ ",TEXT(S119,"hh:mm")," ","➘ ",TEXT(T119,"hh:mm")))</f>
        <v>🌞 ➚ 06:46 ➘ 20:52</v>
      </c>
    </row>
    <row r="120" spans="6:23" x14ac:dyDescent="0.2">
      <c r="F120" s="198">
        <f t="shared" si="37"/>
        <v>44309</v>
      </c>
      <c r="G120" s="199">
        <f t="shared" si="31"/>
        <v>113</v>
      </c>
      <c r="H120" s="200">
        <f t="shared" si="21"/>
        <v>108.37279999999998</v>
      </c>
      <c r="I120" s="200">
        <f t="shared" si="32"/>
        <v>1.8044700292200588</v>
      </c>
      <c r="J120" s="200">
        <f t="shared" si="22"/>
        <v>33.17727002922004</v>
      </c>
      <c r="K120" s="200">
        <f t="shared" si="33"/>
        <v>-2.2200216849504044</v>
      </c>
      <c r="L120" s="201">
        <f t="shared" si="34"/>
        <v>-1.6622066229213823</v>
      </c>
      <c r="M120" s="202">
        <f t="shared" si="35"/>
        <v>6.9258609288390935E-2</v>
      </c>
      <c r="N120" s="203">
        <f t="shared" si="36"/>
        <v>12.57330843797153</v>
      </c>
      <c r="O120" s="200">
        <f t="shared" si="23"/>
        <v>106.13635210053803</v>
      </c>
      <c r="P120" s="200">
        <f t="shared" si="24"/>
        <v>7.0757568067025352</v>
      </c>
      <c r="Q120" s="200">
        <f t="shared" si="25"/>
        <v>4.9242431932974648</v>
      </c>
      <c r="R120" s="200">
        <f t="shared" si="26"/>
        <v>19.075756806702536</v>
      </c>
      <c r="S120" s="204">
        <f t="shared" si="27"/>
        <v>0.28055555555555556</v>
      </c>
      <c r="T120" s="204">
        <f t="shared" si="28"/>
        <v>0.87013888888888891</v>
      </c>
      <c r="U120" s="205" t="str">
        <f t="shared" si="30"/>
        <v>E</v>
      </c>
      <c r="V120" s="272">
        <f t="shared" si="29"/>
        <v>2</v>
      </c>
      <c r="W120" s="207" t="str">
        <f>IF(Introduction!$E$7=1,CONCATENATE("🌞 ➚ ",TEXT(S120,"hh:mm")," ","➘ ",TEXT(T120,"hh:mm")),CONCATENATE("☼ ➚ ",TEXT(S120,"hh:mm")," ","➘ ",TEXT(T120,"hh:mm")))</f>
        <v>🌞 ➚ 06:44 ➘ 20:53</v>
      </c>
    </row>
    <row r="121" spans="6:23" x14ac:dyDescent="0.2">
      <c r="F121" s="198">
        <f t="shared" si="37"/>
        <v>44310</v>
      </c>
      <c r="G121" s="199">
        <f t="shared" si="31"/>
        <v>114</v>
      </c>
      <c r="H121" s="200">
        <f t="shared" si="21"/>
        <v>109.35840000000002</v>
      </c>
      <c r="I121" s="200">
        <f t="shared" si="32"/>
        <v>1.793279857521253</v>
      </c>
      <c r="J121" s="200">
        <f t="shared" si="22"/>
        <v>34.151679857521287</v>
      </c>
      <c r="K121" s="200">
        <f t="shared" si="33"/>
        <v>-2.2548832617126222</v>
      </c>
      <c r="L121" s="201">
        <f t="shared" si="34"/>
        <v>-1.846413616765477</v>
      </c>
      <c r="M121" s="202">
        <f t="shared" si="35"/>
        <v>7.6933900698561541E-2</v>
      </c>
      <c r="N121" s="203">
        <f t="shared" si="36"/>
        <v>12.904061732507252</v>
      </c>
      <c r="O121" s="200">
        <f t="shared" si="23"/>
        <v>106.55279658789767</v>
      </c>
      <c r="P121" s="200">
        <f t="shared" si="24"/>
        <v>7.1035197725265116</v>
      </c>
      <c r="Q121" s="200">
        <f t="shared" si="25"/>
        <v>4.8964802274734884</v>
      </c>
      <c r="R121" s="200">
        <f t="shared" si="26"/>
        <v>19.103519772526511</v>
      </c>
      <c r="S121" s="204">
        <f t="shared" si="27"/>
        <v>0.27986111111111112</v>
      </c>
      <c r="T121" s="204">
        <f t="shared" si="28"/>
        <v>0.87152777777777779</v>
      </c>
      <c r="U121" s="205" t="str">
        <f t="shared" si="30"/>
        <v>E</v>
      </c>
      <c r="V121" s="272">
        <f t="shared" si="29"/>
        <v>2</v>
      </c>
      <c r="W121" s="207" t="str">
        <f>IF(Introduction!$E$7=1,CONCATENATE("🌞 ➚ ",TEXT(S121,"hh:mm")," ","➘ ",TEXT(T121,"hh:mm")),CONCATENATE("☼ ➚ ",TEXT(S121,"hh:mm")," ","➘ ",TEXT(T121,"hh:mm")))</f>
        <v>🌞 ➚ 06:43 ➘ 20:55</v>
      </c>
    </row>
    <row r="122" spans="6:23" x14ac:dyDescent="0.2">
      <c r="F122" s="198">
        <f t="shared" si="37"/>
        <v>44311</v>
      </c>
      <c r="G122" s="199">
        <f t="shared" si="31"/>
        <v>115</v>
      </c>
      <c r="H122" s="200">
        <f t="shared" si="21"/>
        <v>110.34399999999999</v>
      </c>
      <c r="I122" s="200">
        <f t="shared" si="32"/>
        <v>1.7815701572989118</v>
      </c>
      <c r="J122" s="200">
        <f t="shared" si="22"/>
        <v>35.12557015729891</v>
      </c>
      <c r="K122" s="200">
        <f t="shared" si="33"/>
        <v>-2.2872461199553906</v>
      </c>
      <c r="L122" s="201">
        <f t="shared" si="34"/>
        <v>-2.0227038506259154</v>
      </c>
      <c r="M122" s="202">
        <f t="shared" si="35"/>
        <v>8.4279327109413146E-2</v>
      </c>
      <c r="N122" s="203">
        <f t="shared" si="36"/>
        <v>13.231277829892916</v>
      </c>
      <c r="O122" s="200">
        <f t="shared" si="23"/>
        <v>106.9668079497123</v>
      </c>
      <c r="P122" s="200">
        <f t="shared" si="24"/>
        <v>7.1311205299808202</v>
      </c>
      <c r="Q122" s="200">
        <f t="shared" si="25"/>
        <v>4.8688794700191798</v>
      </c>
      <c r="R122" s="200">
        <f t="shared" si="26"/>
        <v>19.131120529980819</v>
      </c>
      <c r="S122" s="204">
        <f t="shared" si="27"/>
        <v>0.27847222222222223</v>
      </c>
      <c r="T122" s="204">
        <f t="shared" si="28"/>
        <v>0.87222222222222223</v>
      </c>
      <c r="U122" s="205" t="str">
        <f t="shared" si="30"/>
        <v>E</v>
      </c>
      <c r="V122" s="272">
        <f t="shared" si="29"/>
        <v>2</v>
      </c>
      <c r="W122" s="207" t="str">
        <f>IF(Introduction!$E$7=1,CONCATENATE("🌞 ➚ ",TEXT(S122,"hh:mm")," ","➘ ",TEXT(T122,"hh:mm")),CONCATENATE("☼ ➚ ",TEXT(S122,"hh:mm")," ","➘ ",TEXT(T122,"hh:mm")))</f>
        <v>🌞 ➚ 06:41 ➘ 20:56</v>
      </c>
    </row>
    <row r="123" spans="6:23" x14ac:dyDescent="0.2">
      <c r="F123" s="198">
        <f t="shared" si="37"/>
        <v>44312</v>
      </c>
      <c r="G123" s="199">
        <f t="shared" si="31"/>
        <v>116</v>
      </c>
      <c r="H123" s="200">
        <f t="shared" si="21"/>
        <v>111.32960000000003</v>
      </c>
      <c r="I123" s="200">
        <f t="shared" si="32"/>
        <v>1.7693448633264659</v>
      </c>
      <c r="J123" s="200">
        <f t="shared" si="22"/>
        <v>36.098944863326437</v>
      </c>
      <c r="K123" s="200">
        <f t="shared" si="33"/>
        <v>-2.317067624125229</v>
      </c>
      <c r="L123" s="201">
        <f t="shared" si="34"/>
        <v>-2.1908910431950526</v>
      </c>
      <c r="M123" s="202">
        <f t="shared" si="35"/>
        <v>9.1287126799793852E-2</v>
      </c>
      <c r="N123" s="203">
        <f t="shared" si="36"/>
        <v>13.554866066291826</v>
      </c>
      <c r="O123" s="200">
        <f t="shared" si="23"/>
        <v>107.37827086413218</v>
      </c>
      <c r="P123" s="200">
        <f t="shared" si="24"/>
        <v>7.1585513909421454</v>
      </c>
      <c r="Q123" s="200">
        <f t="shared" si="25"/>
        <v>4.8414486090578546</v>
      </c>
      <c r="R123" s="200">
        <f t="shared" si="26"/>
        <v>19.158551390942144</v>
      </c>
      <c r="S123" s="204">
        <f t="shared" si="27"/>
        <v>0.27708333333333335</v>
      </c>
      <c r="T123" s="204">
        <f t="shared" si="28"/>
        <v>0.87361111111111101</v>
      </c>
      <c r="U123" s="205" t="str">
        <f t="shared" si="30"/>
        <v>E</v>
      </c>
      <c r="V123" s="272">
        <f t="shared" si="29"/>
        <v>2</v>
      </c>
      <c r="W123" s="207" t="str">
        <f>IF(Introduction!$E$7=1,CONCATENATE("🌞 ➚ ",TEXT(S123,"hh:mm")," ","➘ ",TEXT(T123,"hh:mm")),CONCATENATE("☼ ➚ ",TEXT(S123,"hh:mm")," ","➘ ",TEXT(T123,"hh:mm")))</f>
        <v>🌞 ➚ 06:39 ➘ 20:58</v>
      </c>
    </row>
    <row r="124" spans="6:23" x14ac:dyDescent="0.2">
      <c r="F124" s="198">
        <f t="shared" si="37"/>
        <v>44313</v>
      </c>
      <c r="G124" s="199">
        <f t="shared" si="31"/>
        <v>117</v>
      </c>
      <c r="H124" s="200">
        <f t="shared" si="21"/>
        <v>112.3152</v>
      </c>
      <c r="I124" s="200">
        <f t="shared" si="32"/>
        <v>1.7566080492444123</v>
      </c>
      <c r="J124" s="200">
        <f t="shared" si="22"/>
        <v>37.071808049244396</v>
      </c>
      <c r="K124" s="200">
        <f t="shared" si="33"/>
        <v>-2.3443076209641491</v>
      </c>
      <c r="L124" s="201">
        <f t="shared" si="34"/>
        <v>-2.3507982868789474</v>
      </c>
      <c r="M124" s="202">
        <f t="shared" si="35"/>
        <v>9.7949928619956148E-2</v>
      </c>
      <c r="N124" s="203">
        <f t="shared" si="36"/>
        <v>13.874736141714875</v>
      </c>
      <c r="O124" s="200">
        <f t="shared" si="23"/>
        <v>107.78706608405595</v>
      </c>
      <c r="P124" s="200">
        <f t="shared" si="24"/>
        <v>7.1858044056037302</v>
      </c>
      <c r="Q124" s="200">
        <f t="shared" si="25"/>
        <v>4.8141955943962698</v>
      </c>
      <c r="R124" s="200">
        <f t="shared" si="26"/>
        <v>19.185804405603729</v>
      </c>
      <c r="S124" s="204">
        <f t="shared" si="27"/>
        <v>0.27569444444444446</v>
      </c>
      <c r="T124" s="204">
        <f t="shared" si="28"/>
        <v>0.87430555555555556</v>
      </c>
      <c r="U124" s="205" t="str">
        <f t="shared" si="30"/>
        <v>E</v>
      </c>
      <c r="V124" s="272">
        <f t="shared" si="29"/>
        <v>2</v>
      </c>
      <c r="W124" s="207" t="str">
        <f>IF(Introduction!$E$7=1,CONCATENATE("🌞 ➚ ",TEXT(S124,"hh:mm")," ","➘ ",TEXT(T124,"hh:mm")),CONCATENATE("☼ ➚ ",TEXT(S124,"hh:mm")," ","➘ ",TEXT(T124,"hh:mm")))</f>
        <v>🌞 ➚ 06:37 ➘ 20:59</v>
      </c>
    </row>
    <row r="125" spans="6:23" x14ac:dyDescent="0.2">
      <c r="F125" s="198">
        <f t="shared" si="37"/>
        <v>44314</v>
      </c>
      <c r="G125" s="199">
        <f t="shared" si="31"/>
        <v>118</v>
      </c>
      <c r="H125" s="200">
        <f t="shared" si="21"/>
        <v>113.30079999999998</v>
      </c>
      <c r="I125" s="200">
        <f t="shared" si="32"/>
        <v>1.7433639258150333</v>
      </c>
      <c r="J125" s="200">
        <f t="shared" si="22"/>
        <v>38.044163925815042</v>
      </c>
      <c r="K125" s="200">
        <f t="shared" si="33"/>
        <v>-2.3689285196533012</v>
      </c>
      <c r="L125" s="201">
        <f t="shared" si="34"/>
        <v>-2.5022583753530716</v>
      </c>
      <c r="M125" s="202">
        <f t="shared" si="35"/>
        <v>0.10426076563971132</v>
      </c>
      <c r="N125" s="203">
        <f t="shared" si="36"/>
        <v>14.190798142093115</v>
      </c>
      <c r="O125" s="200">
        <f t="shared" si="23"/>
        <v>108.19307038209304</v>
      </c>
      <c r="P125" s="200">
        <f t="shared" si="24"/>
        <v>7.2128713588062023</v>
      </c>
      <c r="Q125" s="200">
        <f t="shared" si="25"/>
        <v>4.7871286411937977</v>
      </c>
      <c r="R125" s="200">
        <f t="shared" si="26"/>
        <v>19.212871358806204</v>
      </c>
      <c r="S125" s="204">
        <f t="shared" si="27"/>
        <v>0.27430555555555552</v>
      </c>
      <c r="T125" s="204">
        <f t="shared" si="28"/>
        <v>0.87569444444444444</v>
      </c>
      <c r="U125" s="205" t="str">
        <f t="shared" si="30"/>
        <v>E</v>
      </c>
      <c r="V125" s="272">
        <f t="shared" si="29"/>
        <v>2</v>
      </c>
      <c r="W125" s="207" t="str">
        <f>IF(Introduction!$E$7=1,CONCATENATE("🌞 ➚ ",TEXT(S125,"hh:mm")," ","➘ ",TEXT(T125,"hh:mm")),CONCATENATE("☼ ➚ ",TEXT(S125,"hh:mm")," ","➘ ",TEXT(T125,"hh:mm")))</f>
        <v>🌞 ➚ 06:35 ➘ 21:01</v>
      </c>
    </row>
    <row r="126" spans="6:23" x14ac:dyDescent="0.2">
      <c r="F126" s="198">
        <f t="shared" si="37"/>
        <v>44315</v>
      </c>
      <c r="G126" s="199">
        <f t="shared" si="31"/>
        <v>119</v>
      </c>
      <c r="H126" s="200">
        <f t="shared" si="21"/>
        <v>114.28640000000001</v>
      </c>
      <c r="I126" s="200">
        <f t="shared" si="32"/>
        <v>1.7296168391533957</v>
      </c>
      <c r="J126" s="200">
        <f t="shared" si="22"/>
        <v>39.016016839153394</v>
      </c>
      <c r="K126" s="200">
        <f t="shared" si="33"/>
        <v>-2.3908953708069052</v>
      </c>
      <c r="L126" s="201">
        <f t="shared" si="34"/>
        <v>-2.6451141266140379</v>
      </c>
      <c r="M126" s="202">
        <f t="shared" si="35"/>
        <v>0.11021308860891825</v>
      </c>
      <c r="N126" s="203">
        <f t="shared" si="36"/>
        <v>14.502962563180283</v>
      </c>
      <c r="O126" s="200">
        <f t="shared" si="23"/>
        <v>108.59615650400761</v>
      </c>
      <c r="P126" s="200">
        <f t="shared" si="24"/>
        <v>7.2397437669338407</v>
      </c>
      <c r="Q126" s="200">
        <f t="shared" si="25"/>
        <v>4.7602562330661593</v>
      </c>
      <c r="R126" s="200">
        <f t="shared" si="26"/>
        <v>19.239743766933842</v>
      </c>
      <c r="S126" s="204">
        <f t="shared" si="27"/>
        <v>0.27361111111111108</v>
      </c>
      <c r="T126" s="204">
        <f t="shared" si="28"/>
        <v>0.87638888888888899</v>
      </c>
      <c r="U126" s="205" t="str">
        <f t="shared" si="30"/>
        <v>E</v>
      </c>
      <c r="V126" s="272">
        <f t="shared" si="29"/>
        <v>2</v>
      </c>
      <c r="W126" s="207" t="str">
        <f>IF(Introduction!$E$7=1,CONCATENATE("🌞 ➚ ",TEXT(S126,"hh:mm")," ","➘ ",TEXT(T126,"hh:mm")),CONCATENATE("☼ ➚ ",TEXT(S126,"hh:mm")," ","➘ ",TEXT(T126,"hh:mm")))</f>
        <v>🌞 ➚ 06:34 ➘ 21:02</v>
      </c>
    </row>
    <row r="127" spans="6:23" x14ac:dyDescent="0.2">
      <c r="F127" s="198">
        <f t="shared" si="37"/>
        <v>44316</v>
      </c>
      <c r="G127" s="199">
        <f t="shared" si="31"/>
        <v>120</v>
      </c>
      <c r="H127" s="200">
        <f t="shared" si="21"/>
        <v>115.27199999999999</v>
      </c>
      <c r="I127" s="200">
        <f t="shared" si="32"/>
        <v>1.7153712689357694</v>
      </c>
      <c r="J127" s="200">
        <f t="shared" si="22"/>
        <v>39.98737126893576</v>
      </c>
      <c r="K127" s="200">
        <f t="shared" si="33"/>
        <v>-2.4101759440242807</v>
      </c>
      <c r="L127" s="201">
        <f t="shared" si="34"/>
        <v>-2.7792187003540452</v>
      </c>
      <c r="M127" s="202">
        <f t="shared" si="35"/>
        <v>0.11580077918141855</v>
      </c>
      <c r="N127" s="203">
        <f t="shared" si="36"/>
        <v>14.811140336305861</v>
      </c>
      <c r="O127" s="200">
        <f t="shared" si="23"/>
        <v>108.99619313135717</v>
      </c>
      <c r="P127" s="200">
        <f t="shared" si="24"/>
        <v>7.2664128754238115</v>
      </c>
      <c r="Q127" s="200">
        <f t="shared" si="25"/>
        <v>4.7335871245761885</v>
      </c>
      <c r="R127" s="200">
        <f t="shared" si="26"/>
        <v>19.266412875423811</v>
      </c>
      <c r="S127" s="204">
        <f t="shared" si="27"/>
        <v>0.2722222222222222</v>
      </c>
      <c r="T127" s="204">
        <f t="shared" si="28"/>
        <v>0.87777777777777777</v>
      </c>
      <c r="U127" s="205" t="str">
        <f t="shared" si="30"/>
        <v>E</v>
      </c>
      <c r="V127" s="272">
        <f t="shared" si="29"/>
        <v>2</v>
      </c>
      <c r="W127" s="207" t="str">
        <f>IF(Introduction!$E$7=1,CONCATENATE("🌞 ➚ ",TEXT(S127,"hh:mm")," ","➘ ",TEXT(T127,"hh:mm")),CONCATENATE("☼ ➚ ",TEXT(S127,"hh:mm")," ","➘ ",TEXT(T127,"hh:mm")))</f>
        <v>🌞 ➚ 06:32 ➘ 21:04</v>
      </c>
    </row>
    <row r="128" spans="6:23" x14ac:dyDescent="0.2">
      <c r="F128" s="198">
        <f t="shared" si="37"/>
        <v>44317</v>
      </c>
      <c r="G128" s="199">
        <f t="shared" si="31"/>
        <v>121</v>
      </c>
      <c r="H128" s="200">
        <f t="shared" si="21"/>
        <v>116.25760000000002</v>
      </c>
      <c r="I128" s="200">
        <f t="shared" si="32"/>
        <v>1.7006318265865845</v>
      </c>
      <c r="J128" s="200">
        <f t="shared" si="22"/>
        <v>40.958231826586598</v>
      </c>
      <c r="K128" s="200">
        <f t="shared" si="33"/>
        <v>-2.4267408037044773</v>
      </c>
      <c r="L128" s="201">
        <f t="shared" si="34"/>
        <v>-2.9044359084715712</v>
      </c>
      <c r="M128" s="202">
        <f t="shared" si="35"/>
        <v>0.12101816285298213</v>
      </c>
      <c r="N128" s="203">
        <f t="shared" si="36"/>
        <v>15.115242855994778</v>
      </c>
      <c r="O128" s="200">
        <f t="shared" si="23"/>
        <v>109.39304485406818</v>
      </c>
      <c r="P128" s="200">
        <f t="shared" si="24"/>
        <v>7.2928696569378788</v>
      </c>
      <c r="Q128" s="200">
        <f t="shared" si="25"/>
        <v>4.7071303430621212</v>
      </c>
      <c r="R128" s="200">
        <f t="shared" si="26"/>
        <v>19.292869656937878</v>
      </c>
      <c r="S128" s="204">
        <f t="shared" si="27"/>
        <v>0.27083333333333331</v>
      </c>
      <c r="T128" s="204">
        <f t="shared" si="28"/>
        <v>0.87847222222222221</v>
      </c>
      <c r="U128" s="205" t="str">
        <f t="shared" si="30"/>
        <v>E</v>
      </c>
      <c r="V128" s="272">
        <f t="shared" si="29"/>
        <v>2</v>
      </c>
      <c r="W128" s="207" t="str">
        <f>IF(Introduction!$E$7=1,CONCATENATE("🌞 ➚ ",TEXT(S128,"hh:mm")," ","➘ ",TEXT(T128,"hh:mm")),CONCATENATE("☼ ➚ ",TEXT(S128,"hh:mm")," ","➘ ",TEXT(T128,"hh:mm")))</f>
        <v>🌞 ➚ 06:30 ➘ 21:05</v>
      </c>
    </row>
    <row r="129" spans="6:23" x14ac:dyDescent="0.2">
      <c r="F129" s="198">
        <f t="shared" si="37"/>
        <v>44318</v>
      </c>
      <c r="G129" s="199">
        <f t="shared" si="31"/>
        <v>122</v>
      </c>
      <c r="H129" s="200">
        <f t="shared" si="21"/>
        <v>117.2432</v>
      </c>
      <c r="I129" s="200">
        <f t="shared" si="32"/>
        <v>1.6854032534450603</v>
      </c>
      <c r="J129" s="200">
        <f t="shared" si="22"/>
        <v>41.92860325344509</v>
      </c>
      <c r="K129" s="200">
        <f t="shared" si="33"/>
        <v>-2.4405633828260744</v>
      </c>
      <c r="L129" s="201">
        <f t="shared" si="34"/>
        <v>-3.0206405175240567</v>
      </c>
      <c r="M129" s="202">
        <f t="shared" si="35"/>
        <v>0.12586002156350237</v>
      </c>
      <c r="N129" s="203">
        <f t="shared" si="36"/>
        <v>15.41518200946515</v>
      </c>
      <c r="O129" s="200">
        <f t="shared" si="23"/>
        <v>109.78657215371847</v>
      </c>
      <c r="P129" s="200">
        <f t="shared" si="24"/>
        <v>7.3191048102478975</v>
      </c>
      <c r="Q129" s="200">
        <f t="shared" si="25"/>
        <v>4.6808951897521025</v>
      </c>
      <c r="R129" s="200">
        <f t="shared" si="26"/>
        <v>19.319104810247897</v>
      </c>
      <c r="S129" s="204">
        <f t="shared" si="27"/>
        <v>0.26944444444444443</v>
      </c>
      <c r="T129" s="204">
        <f t="shared" si="28"/>
        <v>0.87986111111111109</v>
      </c>
      <c r="U129" s="205" t="str">
        <f t="shared" si="30"/>
        <v>E</v>
      </c>
      <c r="V129" s="272">
        <f t="shared" si="29"/>
        <v>2</v>
      </c>
      <c r="W129" s="207" t="str">
        <f>IF(Introduction!$E$7=1,CONCATENATE("🌞 ➚ ",TEXT(S129,"hh:mm")," ","➘ ",TEXT(T129,"hh:mm")),CONCATENATE("☼ ➚ ",TEXT(S129,"hh:mm")," ","➘ ",TEXT(T129,"hh:mm")))</f>
        <v>🌞 ➚ 06:28 ➘ 21:07</v>
      </c>
    </row>
    <row r="130" spans="6:23" x14ac:dyDescent="0.2">
      <c r="F130" s="198">
        <f t="shared" si="37"/>
        <v>44319</v>
      </c>
      <c r="G130" s="199">
        <f t="shared" si="31"/>
        <v>123</v>
      </c>
      <c r="H130" s="200">
        <f t="shared" si="21"/>
        <v>118.22879999999998</v>
      </c>
      <c r="I130" s="200">
        <f t="shared" si="32"/>
        <v>1.6696904189125763</v>
      </c>
      <c r="J130" s="200">
        <f t="shared" si="22"/>
        <v>42.898490418912615</v>
      </c>
      <c r="K130" s="200">
        <f t="shared" si="33"/>
        <v>-2.4516200543941631</v>
      </c>
      <c r="L130" s="201">
        <f t="shared" si="34"/>
        <v>-3.1277185419263471</v>
      </c>
      <c r="M130" s="202">
        <f t="shared" si="35"/>
        <v>0.13032160591359779</v>
      </c>
      <c r="N130" s="203">
        <f t="shared" si="36"/>
        <v>15.710870208010682</v>
      </c>
      <c r="O130" s="200">
        <f t="shared" si="23"/>
        <v>110.17663139832017</v>
      </c>
      <c r="P130" s="200">
        <f t="shared" si="24"/>
        <v>7.3451087598880109</v>
      </c>
      <c r="Q130" s="200">
        <f t="shared" si="25"/>
        <v>4.6548912401119891</v>
      </c>
      <c r="R130" s="200">
        <f t="shared" si="26"/>
        <v>19.34510875988801</v>
      </c>
      <c r="S130" s="204">
        <f t="shared" si="27"/>
        <v>0.26874999999999999</v>
      </c>
      <c r="T130" s="204">
        <f t="shared" si="28"/>
        <v>0.88055555555555554</v>
      </c>
      <c r="U130" s="205" t="str">
        <f t="shared" si="30"/>
        <v>E</v>
      </c>
      <c r="V130" s="272">
        <f t="shared" si="29"/>
        <v>2</v>
      </c>
      <c r="W130" s="207" t="str">
        <f>IF(Introduction!$E$7=1,CONCATENATE("🌞 ➚ ",TEXT(S130,"hh:mm")," ","➘ ",TEXT(T130,"hh:mm")),CONCATENATE("☼ ➚ ",TEXT(S130,"hh:mm")," ","➘ ",TEXT(T130,"hh:mm")))</f>
        <v>🌞 ➚ 06:27 ➘ 21:08</v>
      </c>
    </row>
    <row r="131" spans="6:23" x14ac:dyDescent="0.2">
      <c r="F131" s="198">
        <f t="shared" si="37"/>
        <v>44320</v>
      </c>
      <c r="G131" s="199">
        <f t="shared" si="31"/>
        <v>124</v>
      </c>
      <c r="H131" s="200">
        <f t="shared" si="21"/>
        <v>119.21440000000001</v>
      </c>
      <c r="I131" s="200">
        <f t="shared" si="32"/>
        <v>1.6534983185818968</v>
      </c>
      <c r="J131" s="200">
        <f t="shared" si="22"/>
        <v>43.867898318581922</v>
      </c>
      <c r="K131" s="200">
        <f t="shared" si="33"/>
        <v>-2.4598902002573371</v>
      </c>
      <c r="L131" s="201">
        <f t="shared" si="34"/>
        <v>-3.2255675267017612</v>
      </c>
      <c r="M131" s="202">
        <f t="shared" si="35"/>
        <v>0.13439864694590672</v>
      </c>
      <c r="N131" s="203">
        <f t="shared" si="36"/>
        <v>16.002220420268468</v>
      </c>
      <c r="O131" s="200">
        <f t="shared" si="23"/>
        <v>110.56307484941819</v>
      </c>
      <c r="P131" s="200">
        <f t="shared" si="24"/>
        <v>7.3708716566278794</v>
      </c>
      <c r="Q131" s="200">
        <f t="shared" si="25"/>
        <v>4.6291283433721206</v>
      </c>
      <c r="R131" s="200">
        <f t="shared" si="26"/>
        <v>19.37087165662788</v>
      </c>
      <c r="S131" s="204">
        <f t="shared" si="27"/>
        <v>0.2673611111111111</v>
      </c>
      <c r="T131" s="204">
        <f t="shared" si="28"/>
        <v>0.88194444444444453</v>
      </c>
      <c r="U131" s="205" t="str">
        <f t="shared" si="30"/>
        <v>E</v>
      </c>
      <c r="V131" s="272">
        <f t="shared" si="29"/>
        <v>2</v>
      </c>
      <c r="W131" s="207" t="str">
        <f>IF(Introduction!$E$7=1,CONCATENATE("🌞 ➚ ",TEXT(S131,"hh:mm")," ","➘ ",TEXT(T131,"hh:mm")),CONCATENATE("☼ ➚ ",TEXT(S131,"hh:mm")," ","➘ ",TEXT(T131,"hh:mm")))</f>
        <v>🌞 ➚ 06:25 ➘ 21:10</v>
      </c>
    </row>
    <row r="132" spans="6:23" x14ac:dyDescent="0.2">
      <c r="F132" s="198">
        <f t="shared" si="37"/>
        <v>44321</v>
      </c>
      <c r="G132" s="199">
        <f t="shared" si="31"/>
        <v>125</v>
      </c>
      <c r="H132" s="200">
        <f t="shared" si="21"/>
        <v>120.19999999999999</v>
      </c>
      <c r="I132" s="200">
        <f t="shared" si="32"/>
        <v>1.6368320723492866</v>
      </c>
      <c r="J132" s="200">
        <f t="shared" si="22"/>
        <v>44.836832072349296</v>
      </c>
      <c r="K132" s="200">
        <f t="shared" si="33"/>
        <v>-2.4653562769997124</v>
      </c>
      <c r="L132" s="201">
        <f t="shared" si="34"/>
        <v>-3.314096818601703</v>
      </c>
      <c r="M132" s="202">
        <f t="shared" si="35"/>
        <v>0.13808736744173764</v>
      </c>
      <c r="N132" s="203">
        <f t="shared" si="36"/>
        <v>16.289146207368024</v>
      </c>
      <c r="O132" s="200">
        <f t="shared" si="23"/>
        <v>110.94575068233652</v>
      </c>
      <c r="P132" s="200">
        <f t="shared" si="24"/>
        <v>7.3963833788224349</v>
      </c>
      <c r="Q132" s="200">
        <f t="shared" si="25"/>
        <v>4.6036166211775651</v>
      </c>
      <c r="R132" s="200">
        <f t="shared" si="26"/>
        <v>19.396383378822435</v>
      </c>
      <c r="S132" s="204">
        <f t="shared" si="27"/>
        <v>0.26597222222222222</v>
      </c>
      <c r="T132" s="204">
        <f t="shared" si="28"/>
        <v>0.88263888888888886</v>
      </c>
      <c r="U132" s="205" t="str">
        <f t="shared" si="30"/>
        <v>E</v>
      </c>
      <c r="V132" s="272">
        <f t="shared" si="29"/>
        <v>2</v>
      </c>
      <c r="W132" s="207" t="str">
        <f>IF(Introduction!$E$7=1,CONCATENATE("🌞 ➚ ",TEXT(S132,"hh:mm")," ","➘ ",TEXT(T132,"hh:mm")),CONCATENATE("☼ ➚ ",TEXT(S132,"hh:mm")," ","➘ ",TEXT(T132,"hh:mm")))</f>
        <v>🌞 ➚ 06:23 ➘ 21:11</v>
      </c>
    </row>
    <row r="133" spans="6:23" x14ac:dyDescent="0.2">
      <c r="F133" s="198">
        <f t="shared" si="37"/>
        <v>44322</v>
      </c>
      <c r="G133" s="199">
        <f t="shared" si="31"/>
        <v>126</v>
      </c>
      <c r="H133" s="200">
        <f t="shared" si="21"/>
        <v>121.18560000000002</v>
      </c>
      <c r="I133" s="200">
        <f t="shared" si="32"/>
        <v>1.6196969225105671</v>
      </c>
      <c r="J133" s="200">
        <f t="shared" si="22"/>
        <v>45.805296922510593</v>
      </c>
      <c r="K133" s="200">
        <f t="shared" si="33"/>
        <v>-2.4680038786165128</v>
      </c>
      <c r="L133" s="201">
        <f t="shared" si="34"/>
        <v>-3.393227824423783</v>
      </c>
      <c r="M133" s="202">
        <f t="shared" si="35"/>
        <v>0.14138449268432429</v>
      </c>
      <c r="N133" s="203">
        <f t="shared" si="36"/>
        <v>16.571561759950658</v>
      </c>
      <c r="O133" s="200">
        <f t="shared" si="23"/>
        <v>111.32450302041669</v>
      </c>
      <c r="P133" s="200">
        <f t="shared" si="24"/>
        <v>7.421633534694446</v>
      </c>
      <c r="Q133" s="200">
        <f t="shared" si="25"/>
        <v>4.578366465305554</v>
      </c>
      <c r="R133" s="200">
        <f t="shared" si="26"/>
        <v>19.421633534694447</v>
      </c>
      <c r="S133" s="204">
        <f t="shared" si="27"/>
        <v>0.26527777777777778</v>
      </c>
      <c r="T133" s="204">
        <f t="shared" si="28"/>
        <v>0.8833333333333333</v>
      </c>
      <c r="U133" s="205" t="str">
        <f t="shared" si="30"/>
        <v>E</v>
      </c>
      <c r="V133" s="272">
        <f t="shared" si="29"/>
        <v>2</v>
      </c>
      <c r="W133" s="207" t="str">
        <f>IF(Introduction!$E$7=1,CONCATENATE("🌞 ➚ ",TEXT(S133,"hh:mm")," ","➘ ",TEXT(T133,"hh:mm")),CONCATENATE("☼ ➚ ",TEXT(S133,"hh:mm")," ","➘ ",TEXT(T133,"hh:mm")))</f>
        <v>🌞 ➚ 06:22 ➘ 21:12</v>
      </c>
    </row>
    <row r="134" spans="6:23" x14ac:dyDescent="0.2">
      <c r="F134" s="198">
        <f t="shared" si="37"/>
        <v>44323</v>
      </c>
      <c r="G134" s="199">
        <f t="shared" si="31"/>
        <v>127</v>
      </c>
      <c r="H134" s="200">
        <f t="shared" ref="H134:H197" si="38">MOD(357+0.9856*$G134,360)</f>
        <v>122.1712</v>
      </c>
      <c r="I134" s="200">
        <f t="shared" si="32"/>
        <v>1.6020982318421519</v>
      </c>
      <c r="J134" s="200">
        <f t="shared" ref="J134:J197" si="39">MOD(280+$I134+0.9856*$G134,360)</f>
        <v>46.773298231842148</v>
      </c>
      <c r="K134" s="200">
        <f t="shared" si="33"/>
        <v>-2.467821795686632</v>
      </c>
      <c r="L134" s="201">
        <f t="shared" si="34"/>
        <v>-3.4628942553779201</v>
      </c>
      <c r="M134" s="202">
        <f t="shared" si="35"/>
        <v>0.14428726064074668</v>
      </c>
      <c r="N134" s="203">
        <f t="shared" si="36"/>
        <v>16.849381937042654</v>
      </c>
      <c r="O134" s="200">
        <f t="shared" ref="O134:O197" si="40">ACOS((-0.01454-SIN(PI()/180*$N134)*SIN(PI()/180*$L$2))/(COS(PI()/180*$N134)*COS(PI()/180*$L$2)))*180/PI()</f>
        <v>111.69917198410043</v>
      </c>
      <c r="P134" s="200">
        <f t="shared" ref="P134:P197" si="41">$O134/15</f>
        <v>7.4466114656066953</v>
      </c>
      <c r="Q134" s="200">
        <f t="shared" ref="Q134:Q197" si="42">12-$P134</f>
        <v>4.5533885343933047</v>
      </c>
      <c r="R134" s="200">
        <f t="shared" ref="R134:R197" si="43">12+$P134</f>
        <v>19.446611465606694</v>
      </c>
      <c r="S134" s="204">
        <f t="shared" ref="S134:S197" si="44">(TRUNC($Q134+$L134/60+$L$3*4/60+$V134)+ROUND((($Q134+$L134/60+$L$3*4/60+$V134)-TRUNC($Q134+$L134/60+$L$3*4/60+$V134))*60,0)/60)/24</f>
        <v>0.2638888888888889</v>
      </c>
      <c r="T134" s="204">
        <f t="shared" ref="T134:T197" si="45">(TRUNC($R134+$L134/60+$L$3*4/60+$V134)+ROUND((($R134+$L134/60+$L$3*4/60+$V134)-TRUNC($R134+$L134/60+$L$3*4/60+$V134))*60,0)/60)/24</f>
        <v>0.8847222222222223</v>
      </c>
      <c r="U134" s="205" t="str">
        <f t="shared" si="30"/>
        <v>E</v>
      </c>
      <c r="V134" s="272">
        <f t="shared" si="29"/>
        <v>2</v>
      </c>
      <c r="W134" s="207" t="str">
        <f>IF(Introduction!$E$7=1,CONCATENATE("🌞 ➚ ",TEXT(S134,"hh:mm")," ","➘ ",TEXT(T134,"hh:mm")),CONCATENATE("☼ ➚ ",TEXT(S134,"hh:mm")," ","➘ ",TEXT(T134,"hh:mm")))</f>
        <v>🌞 ➚ 06:20 ➘ 21:14</v>
      </c>
    </row>
    <row r="135" spans="6:23" x14ac:dyDescent="0.2">
      <c r="F135" s="198">
        <f t="shared" si="37"/>
        <v>44324</v>
      </c>
      <c r="G135" s="199">
        <f t="shared" si="31"/>
        <v>128</v>
      </c>
      <c r="H135" s="200">
        <f t="shared" si="38"/>
        <v>123.15679999999998</v>
      </c>
      <c r="I135" s="200">
        <f t="shared" si="32"/>
        <v>1.5840414816680382</v>
      </c>
      <c r="J135" s="200">
        <f t="shared" si="39"/>
        <v>47.740841481668099</v>
      </c>
      <c r="K135" s="200">
        <f t="shared" si="33"/>
        <v>-2.4648020707617224</v>
      </c>
      <c r="L135" s="201">
        <f t="shared" si="34"/>
        <v>-3.5230423563747371</v>
      </c>
      <c r="M135" s="202">
        <f t="shared" si="35"/>
        <v>0.14679343151561405</v>
      </c>
      <c r="N135" s="203">
        <f t="shared" si="36"/>
        <v>17.122522306758903</v>
      </c>
      <c r="O135" s="200">
        <f t="shared" si="40"/>
        <v>112.06959375570941</v>
      </c>
      <c r="P135" s="200">
        <f t="shared" si="41"/>
        <v>7.4713062503806267</v>
      </c>
      <c r="Q135" s="200">
        <f t="shared" si="42"/>
        <v>4.5286937496193733</v>
      </c>
      <c r="R135" s="200">
        <f t="shared" si="43"/>
        <v>19.471306250380628</v>
      </c>
      <c r="S135" s="204">
        <f t="shared" si="44"/>
        <v>0.26319444444444445</v>
      </c>
      <c r="T135" s="204">
        <f t="shared" si="45"/>
        <v>0.88541666666666663</v>
      </c>
      <c r="U135" s="205" t="str">
        <f t="shared" si="30"/>
        <v>E</v>
      </c>
      <c r="V135" s="272">
        <f t="shared" ref="V135:V198" si="46">IF(U135="H",$AC$6,$AC$7)</f>
        <v>2</v>
      </c>
      <c r="W135" s="207" t="str">
        <f>IF(Introduction!$E$7=1,CONCATENATE("🌞 ➚ ",TEXT(S135,"hh:mm")," ","➘ ",TEXT(T135,"hh:mm")),CONCATENATE("☼ ➚ ",TEXT(S135,"hh:mm")," ","➘ ",TEXT(T135,"hh:mm")))</f>
        <v>🌞 ➚ 06:19 ➘ 21:15</v>
      </c>
    </row>
    <row r="136" spans="6:23" x14ac:dyDescent="0.2">
      <c r="F136" s="198">
        <f t="shared" si="37"/>
        <v>44325</v>
      </c>
      <c r="G136" s="199">
        <f t="shared" si="31"/>
        <v>129</v>
      </c>
      <c r="H136" s="200">
        <f t="shared" si="38"/>
        <v>124.14240000000001</v>
      </c>
      <c r="I136" s="200">
        <f t="shared" si="32"/>
        <v>1.565532269913759</v>
      </c>
      <c r="J136" s="200">
        <f t="shared" si="39"/>
        <v>48.707932269913783</v>
      </c>
      <c r="K136" s="200">
        <f t="shared" si="33"/>
        <v>-2.4589400496987759</v>
      </c>
      <c r="L136" s="201">
        <f t="shared" si="34"/>
        <v>-3.5736311191400674</v>
      </c>
      <c r="M136" s="202">
        <f t="shared" si="35"/>
        <v>0.14890129663083615</v>
      </c>
      <c r="N136" s="203">
        <f t="shared" si="36"/>
        <v>17.390899188806582</v>
      </c>
      <c r="O136" s="200">
        <f t="shared" si="40"/>
        <v>112.43560066076907</v>
      </c>
      <c r="P136" s="200">
        <f t="shared" si="41"/>
        <v>7.495706710717938</v>
      </c>
      <c r="Q136" s="200">
        <f t="shared" si="42"/>
        <v>4.504293289282062</v>
      </c>
      <c r="R136" s="200">
        <f t="shared" si="43"/>
        <v>19.49570671071794</v>
      </c>
      <c r="S136" s="204">
        <f t="shared" si="44"/>
        <v>0.26180555555555557</v>
      </c>
      <c r="T136" s="204">
        <f t="shared" si="45"/>
        <v>0.88680555555555562</v>
      </c>
      <c r="U136" s="205" t="str">
        <f t="shared" ref="U136:U199" si="47">IF(YEAR($F136)=$AA$5,IF(AND($F136&gt;=$AA$6,$F136&lt;$AA$7),"E",IF(AND($F136&gt;=$AA$6,$F136&lt;$AA$7),"E","H")),IF(AND($F136&gt;=$AB$6,$F136&lt;$AB$7),"E",IF(AND($F136&gt;=$AB$6,$F136&lt;$AB$7),"E","H")))</f>
        <v>E</v>
      </c>
      <c r="V136" s="272">
        <f t="shared" si="46"/>
        <v>2</v>
      </c>
      <c r="W136" s="207" t="str">
        <f>IF(Introduction!$E$7=1,CONCATENATE("🌞 ➚ ",TEXT(S136,"hh:mm")," ","➘ ",TEXT(T136,"hh:mm")),CONCATENATE("☼ ➚ ",TEXT(S136,"hh:mm")," ","➘ ",TEXT(T136,"hh:mm")))</f>
        <v>🌞 ➚ 06:17 ➘ 21:17</v>
      </c>
    </row>
    <row r="137" spans="6:23" x14ac:dyDescent="0.2">
      <c r="F137" s="198">
        <f t="shared" si="37"/>
        <v>44326</v>
      </c>
      <c r="G137" s="199">
        <f t="shared" ref="G137:G200" si="48">F137-DATE(YEAR(F137),1,0)</f>
        <v>130</v>
      </c>
      <c r="H137" s="200">
        <f t="shared" si="38"/>
        <v>125.12800000000004</v>
      </c>
      <c r="I137" s="200">
        <f t="shared" ref="I137:I200" si="49">1.914*SIN(PI()/180*$H137)+0.02*SIN(PI()/180*2*$H137)</f>
        <v>1.5465763091482501</v>
      </c>
      <c r="J137" s="200">
        <f t="shared" si="39"/>
        <v>49.674576309148279</v>
      </c>
      <c r="K137" s="200">
        <f t="shared" ref="K137:K200" si="50">-2.466*SIN(PI()/180*2*$J137)+0.053*SIN(PI()/180*4*$J137)</f>
        <v>-2.4502344286718025</v>
      </c>
      <c r="L137" s="201">
        <f t="shared" ref="L137:L200" si="51">($I137+$K137)*4</f>
        <v>-3.6146324780942098</v>
      </c>
      <c r="M137" s="202">
        <f t="shared" ref="M137:M200" si="52">ABS($L137)/24</f>
        <v>0.15060968658725873</v>
      </c>
      <c r="N137" s="203">
        <f t="shared" ref="N137:N200" si="53">ASIN(0.3978*SIN(PI()/180*$J137))*180/PI()</f>
        <v>17.654429698752068</v>
      </c>
      <c r="O137" s="200">
        <f t="shared" si="40"/>
        <v>112.79702126671161</v>
      </c>
      <c r="P137" s="200">
        <f t="shared" si="41"/>
        <v>7.5198014177807737</v>
      </c>
      <c r="Q137" s="200">
        <f t="shared" si="42"/>
        <v>4.4801985822192263</v>
      </c>
      <c r="R137" s="200">
        <f t="shared" si="43"/>
        <v>19.519801417780773</v>
      </c>
      <c r="S137" s="204">
        <f t="shared" si="44"/>
        <v>0.26111111111111113</v>
      </c>
      <c r="T137" s="204">
        <f t="shared" si="45"/>
        <v>0.88750000000000007</v>
      </c>
      <c r="U137" s="205" t="str">
        <f t="shared" si="47"/>
        <v>E</v>
      </c>
      <c r="V137" s="272">
        <f t="shared" si="46"/>
        <v>2</v>
      </c>
      <c r="W137" s="207" t="str">
        <f>IF(Introduction!$E$7=1,CONCATENATE("🌞 ➚ ",TEXT(S137,"hh:mm")," ","➘ ",TEXT(T137,"hh:mm")),CONCATENATE("☼ ➚ ",TEXT(S137,"hh:mm")," ","➘ ",TEXT(T137,"hh:mm")))</f>
        <v>🌞 ➚ 06:16 ➘ 21:18</v>
      </c>
    </row>
    <row r="138" spans="6:23" x14ac:dyDescent="0.2">
      <c r="F138" s="198">
        <f t="shared" ref="F138:F201" si="54">F137+1</f>
        <v>44327</v>
      </c>
      <c r="G138" s="199">
        <f t="shared" si="48"/>
        <v>131</v>
      </c>
      <c r="H138" s="200">
        <f t="shared" si="38"/>
        <v>126.11360000000002</v>
      </c>
      <c r="I138" s="200">
        <f t="shared" si="49"/>
        <v>1.5271794246145529</v>
      </c>
      <c r="J138" s="200">
        <f t="shared" si="39"/>
        <v>50.640779424614493</v>
      </c>
      <c r="K138" s="200">
        <f t="shared" si="50"/>
        <v>-2.4386872966080531</v>
      </c>
      <c r="L138" s="201">
        <f t="shared" si="51"/>
        <v>-3.6460314879740006</v>
      </c>
      <c r="M138" s="202">
        <f t="shared" si="52"/>
        <v>0.15191797866558335</v>
      </c>
      <c r="N138" s="203">
        <f t="shared" si="53"/>
        <v>17.913031794005963</v>
      </c>
      <c r="O138" s="200">
        <f t="shared" si="40"/>
        <v>113.15368049976973</v>
      </c>
      <c r="P138" s="200">
        <f t="shared" si="41"/>
        <v>7.543578699984649</v>
      </c>
      <c r="Q138" s="200">
        <f t="shared" si="42"/>
        <v>4.456421300015351</v>
      </c>
      <c r="R138" s="200">
        <f t="shared" si="43"/>
        <v>19.54357869998465</v>
      </c>
      <c r="S138" s="204">
        <f t="shared" si="44"/>
        <v>0.25972222222222224</v>
      </c>
      <c r="T138" s="204">
        <f t="shared" si="45"/>
        <v>0.88888888888888884</v>
      </c>
      <c r="U138" s="205" t="str">
        <f t="shared" si="47"/>
        <v>E</v>
      </c>
      <c r="V138" s="272">
        <f t="shared" si="46"/>
        <v>2</v>
      </c>
      <c r="W138" s="207" t="str">
        <f>IF(Introduction!$E$7=1,CONCATENATE("🌞 ➚ ",TEXT(S138,"hh:mm")," ","➘ ",TEXT(T138,"hh:mm")),CONCATENATE("☼ ➚ ",TEXT(S138,"hh:mm")," ","➘ ",TEXT(T138,"hh:mm")))</f>
        <v>🌞 ➚ 06:14 ➘ 21:20</v>
      </c>
    </row>
    <row r="139" spans="6:23" x14ac:dyDescent="0.2">
      <c r="F139" s="198">
        <f t="shared" si="54"/>
        <v>44328</v>
      </c>
      <c r="G139" s="199">
        <f t="shared" si="48"/>
        <v>132</v>
      </c>
      <c r="H139" s="200">
        <f t="shared" si="38"/>
        <v>127.0992</v>
      </c>
      <c r="I139" s="200">
        <f t="shared" si="49"/>
        <v>1.5073475522502886</v>
      </c>
      <c r="J139" s="200">
        <f t="shared" si="39"/>
        <v>51.606547552250277</v>
      </c>
      <c r="K139" s="200">
        <f t="shared" si="50"/>
        <v>-2.4243041728051393</v>
      </c>
      <c r="L139" s="201">
        <f t="shared" si="51"/>
        <v>-3.6678264822194029</v>
      </c>
      <c r="M139" s="202">
        <f t="shared" si="52"/>
        <v>0.15282610342580846</v>
      </c>
      <c r="N139" s="203">
        <f t="shared" si="53"/>
        <v>18.166624321474565</v>
      </c>
      <c r="O139" s="200">
        <f t="shared" si="40"/>
        <v>113.50539978084426</v>
      </c>
      <c r="P139" s="200">
        <f t="shared" si="41"/>
        <v>7.5670266520562839</v>
      </c>
      <c r="Q139" s="200">
        <f t="shared" si="42"/>
        <v>4.4329733479437161</v>
      </c>
      <c r="R139" s="200">
        <f t="shared" si="43"/>
        <v>19.567026652056285</v>
      </c>
      <c r="S139" s="204">
        <f t="shared" si="44"/>
        <v>0.2590277777777778</v>
      </c>
      <c r="T139" s="204">
        <f t="shared" si="45"/>
        <v>0.88958333333333339</v>
      </c>
      <c r="U139" s="205" t="str">
        <f t="shared" si="47"/>
        <v>E</v>
      </c>
      <c r="V139" s="272">
        <f t="shared" si="46"/>
        <v>2</v>
      </c>
      <c r="W139" s="207" t="str">
        <f>IF(Introduction!$E$7=1,CONCATENATE("🌞 ➚ ",TEXT(S139,"hh:mm")," ","➘ ",TEXT(T139,"hh:mm")),CONCATENATE("☼ ➚ ",TEXT(S139,"hh:mm")," ","➘ ",TEXT(T139,"hh:mm")))</f>
        <v>🌞 ➚ 06:13 ➘ 21:21</v>
      </c>
    </row>
    <row r="140" spans="6:23" x14ac:dyDescent="0.2">
      <c r="F140" s="198">
        <f t="shared" si="54"/>
        <v>44329</v>
      </c>
      <c r="G140" s="199">
        <f t="shared" si="48"/>
        <v>133</v>
      </c>
      <c r="H140" s="200">
        <f t="shared" si="38"/>
        <v>128.08479999999997</v>
      </c>
      <c r="I140" s="200">
        <f t="shared" si="49"/>
        <v>1.4870867366987757</v>
      </c>
      <c r="J140" s="200">
        <f t="shared" si="39"/>
        <v>52.57188673669873</v>
      </c>
      <c r="K140" s="200">
        <f t="shared" si="50"/>
        <v>-2.4070940394975229</v>
      </c>
      <c r="L140" s="201">
        <f t="shared" si="51"/>
        <v>-3.6800292111949888</v>
      </c>
      <c r="M140" s="202">
        <f t="shared" si="52"/>
        <v>0.15333455046645786</v>
      </c>
      <c r="N140" s="203">
        <f t="shared" si="53"/>
        <v>18.415127066817256</v>
      </c>
      <c r="O140" s="200">
        <f t="shared" si="40"/>
        <v>113.85199718108595</v>
      </c>
      <c r="P140" s="200">
        <f t="shared" si="41"/>
        <v>7.5901331454057299</v>
      </c>
      <c r="Q140" s="200">
        <f t="shared" si="42"/>
        <v>4.4098668545942701</v>
      </c>
      <c r="R140" s="200">
        <f t="shared" si="43"/>
        <v>19.59013314540573</v>
      </c>
      <c r="S140" s="204">
        <f t="shared" si="44"/>
        <v>0.25833333333333336</v>
      </c>
      <c r="T140" s="204">
        <f t="shared" si="45"/>
        <v>0.89027777777777783</v>
      </c>
      <c r="U140" s="205" t="str">
        <f t="shared" si="47"/>
        <v>E</v>
      </c>
      <c r="V140" s="272">
        <f t="shared" si="46"/>
        <v>2</v>
      </c>
      <c r="W140" s="207" t="str">
        <f>IF(Introduction!$E$7=1,CONCATENATE("🌞 ➚ ",TEXT(S140,"hh:mm")," ","➘ ",TEXT(T140,"hh:mm")),CONCATENATE("☼ ➚ ",TEXT(S140,"hh:mm")," ","➘ ",TEXT(T140,"hh:mm")))</f>
        <v>🌞 ➚ 06:12 ➘ 21:22</v>
      </c>
    </row>
    <row r="141" spans="6:23" x14ac:dyDescent="0.2">
      <c r="F141" s="198">
        <f t="shared" si="54"/>
        <v>44330</v>
      </c>
      <c r="G141" s="199">
        <f t="shared" si="48"/>
        <v>134</v>
      </c>
      <c r="H141" s="200">
        <f t="shared" si="38"/>
        <v>129.07040000000001</v>
      </c>
      <c r="I141" s="200">
        <f t="shared" si="49"/>
        <v>1.4664031293116639</v>
      </c>
      <c r="J141" s="200">
        <f t="shared" si="39"/>
        <v>53.536803129311693</v>
      </c>
      <c r="K141" s="200">
        <f t="shared" si="50"/>
        <v>-2.3870693691538092</v>
      </c>
      <c r="L141" s="201">
        <f t="shared" si="51"/>
        <v>-3.682664959368581</v>
      </c>
      <c r="M141" s="202">
        <f t="shared" si="52"/>
        <v>0.15344437330702421</v>
      </c>
      <c r="N141" s="203">
        <f t="shared" si="53"/>
        <v>18.658460805242829</v>
      </c>
      <c r="O141" s="200">
        <f t="shared" si="40"/>
        <v>114.19328759788348</v>
      </c>
      <c r="P141" s="200">
        <f t="shared" si="41"/>
        <v>7.6128858398588992</v>
      </c>
      <c r="Q141" s="200">
        <f t="shared" si="42"/>
        <v>4.3871141601411008</v>
      </c>
      <c r="R141" s="200">
        <f t="shared" si="43"/>
        <v>19.612885839858897</v>
      </c>
      <c r="S141" s="204">
        <f t="shared" si="44"/>
        <v>0.25694444444444448</v>
      </c>
      <c r="T141" s="204">
        <f t="shared" si="45"/>
        <v>0.89166666666666661</v>
      </c>
      <c r="U141" s="205" t="str">
        <f t="shared" si="47"/>
        <v>E</v>
      </c>
      <c r="V141" s="272">
        <f t="shared" si="46"/>
        <v>2</v>
      </c>
      <c r="W141" s="207" t="str">
        <f>IF(Introduction!$E$7=1,CONCATENATE("🌞 ➚ ",TEXT(S141,"hh:mm")," ","➘ ",TEXT(T141,"hh:mm")),CONCATENATE("☼ ➚ ",TEXT(S141,"hh:mm")," ","➘ ",TEXT(T141,"hh:mm")))</f>
        <v>🌞 ➚ 06:10 ➘ 21:24</v>
      </c>
    </row>
    <row r="142" spans="6:23" x14ac:dyDescent="0.2">
      <c r="F142" s="198">
        <f t="shared" si="54"/>
        <v>44331</v>
      </c>
      <c r="G142" s="199">
        <f t="shared" si="48"/>
        <v>135</v>
      </c>
      <c r="H142" s="200">
        <f t="shared" si="38"/>
        <v>130.05600000000004</v>
      </c>
      <c r="I142" s="200">
        <f t="shared" si="49"/>
        <v>1.4453029861439206</v>
      </c>
      <c r="J142" s="200">
        <f t="shared" si="39"/>
        <v>54.501302986143969</v>
      </c>
      <c r="K142" s="200">
        <f t="shared" si="50"/>
        <v>-2.3642461463004407</v>
      </c>
      <c r="L142" s="201">
        <f t="shared" si="51"/>
        <v>-3.6757726406260804</v>
      </c>
      <c r="M142" s="202">
        <f t="shared" si="52"/>
        <v>0.15315719335942002</v>
      </c>
      <c r="N142" s="203">
        <f t="shared" si="53"/>
        <v>18.896547353767787</v>
      </c>
      <c r="O142" s="200">
        <f t="shared" si="40"/>
        <v>114.52908295188303</v>
      </c>
      <c r="P142" s="200">
        <f t="shared" si="41"/>
        <v>7.6352721967922017</v>
      </c>
      <c r="Q142" s="200">
        <f t="shared" si="42"/>
        <v>4.3647278032077983</v>
      </c>
      <c r="R142" s="200">
        <f t="shared" si="43"/>
        <v>19.635272196792201</v>
      </c>
      <c r="S142" s="204">
        <f t="shared" si="44"/>
        <v>0.25625000000000003</v>
      </c>
      <c r="T142" s="204">
        <f t="shared" si="45"/>
        <v>0.89236111111111116</v>
      </c>
      <c r="U142" s="205" t="str">
        <f t="shared" si="47"/>
        <v>E</v>
      </c>
      <c r="V142" s="272">
        <f t="shared" si="46"/>
        <v>2</v>
      </c>
      <c r="W142" s="207" t="str">
        <f>IF(Introduction!$E$7=1,CONCATENATE("🌞 ➚ ",TEXT(S142,"hh:mm")," ","➘ ",TEXT(T142,"hh:mm")),CONCATENATE("☼ ➚ ",TEXT(S142,"hh:mm")," ","➘ ",TEXT(T142,"hh:mm")))</f>
        <v>🌞 ➚ 06:09 ➘ 21:25</v>
      </c>
    </row>
    <row r="143" spans="6:23" x14ac:dyDescent="0.2">
      <c r="F143" s="198">
        <f t="shared" si="54"/>
        <v>44332</v>
      </c>
      <c r="G143" s="199">
        <f t="shared" si="48"/>
        <v>136</v>
      </c>
      <c r="H143" s="200">
        <f t="shared" si="38"/>
        <v>131.04160000000002</v>
      </c>
      <c r="I143" s="200">
        <f t="shared" si="49"/>
        <v>1.4237926659419742</v>
      </c>
      <c r="J143" s="200">
        <f t="shared" si="39"/>
        <v>55.465392665941977</v>
      </c>
      <c r="K143" s="200">
        <f t="shared" si="50"/>
        <v>-2.3386438836822054</v>
      </c>
      <c r="L143" s="201">
        <f t="shared" si="51"/>
        <v>-3.659404870960925</v>
      </c>
      <c r="M143" s="202">
        <f t="shared" si="52"/>
        <v>0.15247520295670522</v>
      </c>
      <c r="N143" s="203">
        <f t="shared" si="53"/>
        <v>19.129309624853626</v>
      </c>
      <c r="O143" s="200">
        <f t="shared" si="40"/>
        <v>114.85919240559487</v>
      </c>
      <c r="P143" s="200">
        <f t="shared" si="41"/>
        <v>7.6572794937063247</v>
      </c>
      <c r="Q143" s="200">
        <f t="shared" si="42"/>
        <v>4.3427205062936753</v>
      </c>
      <c r="R143" s="200">
        <f t="shared" si="43"/>
        <v>19.657279493706326</v>
      </c>
      <c r="S143" s="204">
        <f t="shared" si="44"/>
        <v>0.25486111111111109</v>
      </c>
      <c r="T143" s="204">
        <f t="shared" si="45"/>
        <v>0.8930555555555556</v>
      </c>
      <c r="U143" s="205" t="str">
        <f t="shared" si="47"/>
        <v>E</v>
      </c>
      <c r="V143" s="272">
        <f t="shared" si="46"/>
        <v>2</v>
      </c>
      <c r="W143" s="207" t="str">
        <f>IF(Introduction!$E$7=1,CONCATENATE("🌞 ➚ ",TEXT(S143,"hh:mm")," ","➘ ",TEXT(T143,"hh:mm")),CONCATENATE("☼ ➚ ",TEXT(S143,"hh:mm")," ","➘ ",TEXT(T143,"hh:mm")))</f>
        <v>🌞 ➚ 06:07 ➘ 21:26</v>
      </c>
    </row>
    <row r="144" spans="6:23" x14ac:dyDescent="0.2">
      <c r="F144" s="198">
        <f t="shared" si="54"/>
        <v>44333</v>
      </c>
      <c r="G144" s="199">
        <f t="shared" si="48"/>
        <v>137</v>
      </c>
      <c r="H144" s="200">
        <f t="shared" si="38"/>
        <v>132.02719999999999</v>
      </c>
      <c r="I144" s="200">
        <f t="shared" si="49"/>
        <v>1.401878628125808</v>
      </c>
      <c r="J144" s="200">
        <f t="shared" si="39"/>
        <v>56.429078628125808</v>
      </c>
      <c r="K144" s="200">
        <f t="shared" si="50"/>
        <v>-2.3102856325858525</v>
      </c>
      <c r="L144" s="201">
        <f t="shared" si="51"/>
        <v>-3.6336280178401781</v>
      </c>
      <c r="M144" s="202">
        <f t="shared" si="52"/>
        <v>0.15140116741000742</v>
      </c>
      <c r="N144" s="203">
        <f t="shared" si="53"/>
        <v>19.356671681330116</v>
      </c>
      <c r="O144" s="200">
        <f t="shared" si="40"/>
        <v>115.18342260405092</v>
      </c>
      <c r="P144" s="200">
        <f t="shared" si="41"/>
        <v>7.6788948402700612</v>
      </c>
      <c r="Q144" s="200">
        <f t="shared" si="42"/>
        <v>4.3211051597299388</v>
      </c>
      <c r="R144" s="200">
        <f t="shared" si="43"/>
        <v>19.678894840270061</v>
      </c>
      <c r="S144" s="204">
        <f t="shared" si="44"/>
        <v>0.25416666666666665</v>
      </c>
      <c r="T144" s="204">
        <f t="shared" si="45"/>
        <v>0.89444444444444438</v>
      </c>
      <c r="U144" s="205" t="str">
        <f t="shared" si="47"/>
        <v>E</v>
      </c>
      <c r="V144" s="272">
        <f t="shared" si="46"/>
        <v>2</v>
      </c>
      <c r="W144" s="207" t="str">
        <f>IF(Introduction!$E$7=1,CONCATENATE("🌞 ➚ ",TEXT(S144,"hh:mm")," ","➘ ",TEXT(T144,"hh:mm")),CONCATENATE("☼ ➚ ",TEXT(S144,"hh:mm")," ","➘ ",TEXT(T144,"hh:mm")))</f>
        <v>🌞 ➚ 06:06 ➘ 21:28</v>
      </c>
    </row>
    <row r="145" spans="6:23" x14ac:dyDescent="0.2">
      <c r="F145" s="198">
        <f t="shared" si="54"/>
        <v>44334</v>
      </c>
      <c r="G145" s="199">
        <f t="shared" si="48"/>
        <v>138</v>
      </c>
      <c r="H145" s="200">
        <f t="shared" si="38"/>
        <v>133.01279999999997</v>
      </c>
      <c r="I145" s="200">
        <f t="shared" si="49"/>
        <v>1.3795674307657668</v>
      </c>
      <c r="J145" s="200">
        <f t="shared" si="39"/>
        <v>57.392367430765717</v>
      </c>
      <c r="K145" s="200">
        <f t="shared" si="50"/>
        <v>-2.2791979871696433</v>
      </c>
      <c r="L145" s="201">
        <f t="shared" si="51"/>
        <v>-3.5985222256155058</v>
      </c>
      <c r="M145" s="202">
        <f t="shared" si="52"/>
        <v>0.14993842606731275</v>
      </c>
      <c r="N145" s="203">
        <f t="shared" si="53"/>
        <v>19.57855879250446</v>
      </c>
      <c r="O145" s="200">
        <f t="shared" si="40"/>
        <v>115.50157793787965</v>
      </c>
      <c r="P145" s="200">
        <f t="shared" si="41"/>
        <v>7.7001051958586428</v>
      </c>
      <c r="Q145" s="200">
        <f t="shared" si="42"/>
        <v>4.2998948041413572</v>
      </c>
      <c r="R145" s="200">
        <f t="shared" si="43"/>
        <v>19.700105195858644</v>
      </c>
      <c r="S145" s="204">
        <f t="shared" si="44"/>
        <v>0.25347222222222221</v>
      </c>
      <c r="T145" s="204">
        <f t="shared" si="45"/>
        <v>0.89513888888888893</v>
      </c>
      <c r="U145" s="205" t="str">
        <f t="shared" si="47"/>
        <v>E</v>
      </c>
      <c r="V145" s="272">
        <f t="shared" si="46"/>
        <v>2</v>
      </c>
      <c r="W145" s="207" t="str">
        <f>IF(Introduction!$E$7=1,CONCATENATE("🌞 ➚ ",TEXT(S145,"hh:mm")," ","➘ ",TEXT(T145,"hh:mm")),CONCATENATE("☼ ➚ ",TEXT(S145,"hh:mm")," ","➘ ",TEXT(T145,"hh:mm")))</f>
        <v>🌞 ➚ 06:05 ➘ 21:29</v>
      </c>
    </row>
    <row r="146" spans="6:23" x14ac:dyDescent="0.2">
      <c r="F146" s="198">
        <f t="shared" si="54"/>
        <v>44335</v>
      </c>
      <c r="G146" s="199">
        <f t="shared" si="48"/>
        <v>139</v>
      </c>
      <c r="H146" s="200">
        <f t="shared" si="38"/>
        <v>133.9984</v>
      </c>
      <c r="I146" s="200">
        <f t="shared" si="49"/>
        <v>1.3568657285547918</v>
      </c>
      <c r="J146" s="200">
        <f t="shared" si="39"/>
        <v>58.355265728554798</v>
      </c>
      <c r="K146" s="200">
        <f t="shared" si="50"/>
        <v>-2.2454110826588929</v>
      </c>
      <c r="L146" s="201">
        <f t="shared" si="51"/>
        <v>-3.5541814164164043</v>
      </c>
      <c r="M146" s="202">
        <f t="shared" si="52"/>
        <v>0.14809089235068351</v>
      </c>
      <c r="N146" s="203">
        <f t="shared" si="53"/>
        <v>19.794897491347825</v>
      </c>
      <c r="O146" s="200">
        <f t="shared" si="40"/>
        <v>115.8134608290499</v>
      </c>
      <c r="P146" s="200">
        <f t="shared" si="41"/>
        <v>7.7208973886033272</v>
      </c>
      <c r="Q146" s="200">
        <f t="shared" si="42"/>
        <v>4.2791026113966728</v>
      </c>
      <c r="R146" s="200">
        <f t="shared" si="43"/>
        <v>19.720897388603326</v>
      </c>
      <c r="S146" s="204">
        <f t="shared" si="44"/>
        <v>0.25277777777777777</v>
      </c>
      <c r="T146" s="204">
        <f t="shared" si="45"/>
        <v>0.89583333333333337</v>
      </c>
      <c r="U146" s="205" t="str">
        <f t="shared" si="47"/>
        <v>E</v>
      </c>
      <c r="V146" s="272">
        <f t="shared" si="46"/>
        <v>2</v>
      </c>
      <c r="W146" s="207" t="str">
        <f>IF(Introduction!$E$7=1,CONCATENATE("🌞 ➚ ",TEXT(S146,"hh:mm")," ","➘ ",TEXT(T146,"hh:mm")),CONCATENATE("☼ ➚ ",TEXT(S146,"hh:mm")," ","➘ ",TEXT(T146,"hh:mm")))</f>
        <v>🌞 ➚ 06:04 ➘ 21:30</v>
      </c>
    </row>
    <row r="147" spans="6:23" x14ac:dyDescent="0.2">
      <c r="F147" s="198">
        <f t="shared" si="54"/>
        <v>44336</v>
      </c>
      <c r="G147" s="199">
        <f t="shared" si="48"/>
        <v>140</v>
      </c>
      <c r="H147" s="200">
        <f t="shared" si="38"/>
        <v>134.98400000000004</v>
      </c>
      <c r="I147" s="200">
        <f t="shared" si="49"/>
        <v>1.3337802707768085</v>
      </c>
      <c r="J147" s="200">
        <f t="shared" si="39"/>
        <v>59.31778027077678</v>
      </c>
      <c r="K147" s="200">
        <f t="shared" si="50"/>
        <v>-2.2089585872855495</v>
      </c>
      <c r="L147" s="201">
        <f t="shared" si="51"/>
        <v>-3.500713266034964</v>
      </c>
      <c r="M147" s="202">
        <f t="shared" si="52"/>
        <v>0.14586305275145683</v>
      </c>
      <c r="N147" s="203">
        <f t="shared" si="53"/>
        <v>20.005615632642304</v>
      </c>
      <c r="O147" s="200">
        <f t="shared" si="40"/>
        <v>116.11887203940807</v>
      </c>
      <c r="P147" s="200">
        <f t="shared" si="41"/>
        <v>7.7412581359605381</v>
      </c>
      <c r="Q147" s="200">
        <f t="shared" si="42"/>
        <v>4.2587418640394619</v>
      </c>
      <c r="R147" s="200">
        <f t="shared" si="43"/>
        <v>19.741258135960539</v>
      </c>
      <c r="S147" s="204">
        <f t="shared" si="44"/>
        <v>0.25208333333333333</v>
      </c>
      <c r="T147" s="204">
        <f t="shared" si="45"/>
        <v>0.89722222222222225</v>
      </c>
      <c r="U147" s="205" t="str">
        <f t="shared" si="47"/>
        <v>E</v>
      </c>
      <c r="V147" s="272">
        <f t="shared" si="46"/>
        <v>2</v>
      </c>
      <c r="W147" s="207" t="str">
        <f>IF(Introduction!$E$7=1,CONCATENATE("🌞 ➚ ",TEXT(S147,"hh:mm")," ","➘ ",TEXT(T147,"hh:mm")),CONCATENATE("☼ ➚ ",TEXT(S147,"hh:mm")," ","➘ ",TEXT(T147,"hh:mm")))</f>
        <v>🌞 ➚ 06:03 ➘ 21:32</v>
      </c>
    </row>
    <row r="148" spans="6:23" x14ac:dyDescent="0.2">
      <c r="F148" s="198">
        <f t="shared" si="54"/>
        <v>44337</v>
      </c>
      <c r="G148" s="199">
        <f t="shared" si="48"/>
        <v>141</v>
      </c>
      <c r="H148" s="200">
        <f t="shared" si="38"/>
        <v>135.96960000000001</v>
      </c>
      <c r="I148" s="200">
        <f t="shared" si="49"/>
        <v>1.3103178992719218</v>
      </c>
      <c r="J148" s="200">
        <f t="shared" si="39"/>
        <v>60.279917899271936</v>
      </c>
      <c r="K148" s="200">
        <f t="shared" si="50"/>
        <v>-2.16987768786817</v>
      </c>
      <c r="L148" s="201">
        <f t="shared" si="51"/>
        <v>-3.4382391543849931</v>
      </c>
      <c r="M148" s="202">
        <f t="shared" si="52"/>
        <v>0.14325996476604139</v>
      </c>
      <c r="N148" s="203">
        <f t="shared" si="53"/>
        <v>20.210642451964205</v>
      </c>
      <c r="O148" s="200">
        <f t="shared" si="40"/>
        <v>116.41761100199217</v>
      </c>
      <c r="P148" s="200">
        <f t="shared" si="41"/>
        <v>7.7611740667994784</v>
      </c>
      <c r="Q148" s="200">
        <f t="shared" si="42"/>
        <v>4.2388259332005216</v>
      </c>
      <c r="R148" s="200">
        <f t="shared" si="43"/>
        <v>19.761174066799477</v>
      </c>
      <c r="S148" s="204">
        <f t="shared" si="44"/>
        <v>0.25069444444444444</v>
      </c>
      <c r="T148" s="204">
        <f t="shared" si="45"/>
        <v>0.8979166666666667</v>
      </c>
      <c r="U148" s="205" t="str">
        <f t="shared" si="47"/>
        <v>E</v>
      </c>
      <c r="V148" s="272">
        <f t="shared" si="46"/>
        <v>2</v>
      </c>
      <c r="W148" s="207" t="str">
        <f>IF(Introduction!$E$7=1,CONCATENATE("🌞 ➚ ",TEXT(S148,"hh:mm")," ","➘ ",TEXT(T148,"hh:mm")),CONCATENATE("☼ ➚ ",TEXT(S148,"hh:mm")," ","➘ ",TEXT(T148,"hh:mm")))</f>
        <v>🌞 ➚ 06:01 ➘ 21:33</v>
      </c>
    </row>
    <row r="149" spans="6:23" x14ac:dyDescent="0.2">
      <c r="F149" s="198">
        <f t="shared" si="54"/>
        <v>44338</v>
      </c>
      <c r="G149" s="199">
        <f t="shared" si="48"/>
        <v>142</v>
      </c>
      <c r="H149" s="200">
        <f t="shared" si="38"/>
        <v>136.95519999999999</v>
      </c>
      <c r="I149" s="200">
        <f t="shared" si="49"/>
        <v>1.2864855463990723</v>
      </c>
      <c r="J149" s="200">
        <f t="shared" si="39"/>
        <v>61.241685546399083</v>
      </c>
      <c r="K149" s="200">
        <f t="shared" si="50"/>
        <v>-2.128209068947799</v>
      </c>
      <c r="L149" s="201">
        <f t="shared" si="51"/>
        <v>-3.3668940901949069</v>
      </c>
      <c r="M149" s="202">
        <f t="shared" si="52"/>
        <v>0.14028725375812112</v>
      </c>
      <c r="N149" s="203">
        <f t="shared" si="53"/>
        <v>20.409908625370896</v>
      </c>
      <c r="O149" s="200">
        <f t="shared" si="40"/>
        <v>116.70947617495186</v>
      </c>
      <c r="P149" s="200">
        <f t="shared" si="41"/>
        <v>7.780631744996791</v>
      </c>
      <c r="Q149" s="200">
        <f t="shared" si="42"/>
        <v>4.219368255003209</v>
      </c>
      <c r="R149" s="200">
        <f t="shared" si="43"/>
        <v>19.780631744996789</v>
      </c>
      <c r="S149" s="204">
        <f t="shared" si="44"/>
        <v>0.25</v>
      </c>
      <c r="T149" s="204">
        <f t="shared" si="45"/>
        <v>0.89861111111111114</v>
      </c>
      <c r="U149" s="205" t="str">
        <f t="shared" si="47"/>
        <v>E</v>
      </c>
      <c r="V149" s="272">
        <f t="shared" si="46"/>
        <v>2</v>
      </c>
      <c r="W149" s="207" t="str">
        <f>IF(Introduction!$E$7=1,CONCATENATE("🌞 ➚ ",TEXT(S149,"hh:mm")," ","➘ ",TEXT(T149,"hh:mm")),CONCATENATE("☼ ➚ ",TEXT(S149,"hh:mm")," ","➘ ",TEXT(T149,"hh:mm")))</f>
        <v>🌞 ➚ 06:00 ➘ 21:34</v>
      </c>
    </row>
    <row r="150" spans="6:23" x14ac:dyDescent="0.2">
      <c r="F150" s="198">
        <f t="shared" si="54"/>
        <v>44339</v>
      </c>
      <c r="G150" s="199">
        <f t="shared" si="48"/>
        <v>143</v>
      </c>
      <c r="H150" s="200">
        <f t="shared" si="38"/>
        <v>137.94079999999997</v>
      </c>
      <c r="I150" s="200">
        <f t="shared" si="49"/>
        <v>1.2622902329967851</v>
      </c>
      <c r="J150" s="200">
        <f t="shared" si="39"/>
        <v>62.203090232996828</v>
      </c>
      <c r="K150" s="200">
        <f t="shared" si="50"/>
        <v>-2.0839968854143978</v>
      </c>
      <c r="L150" s="201">
        <f t="shared" si="51"/>
        <v>-3.2868266096704506</v>
      </c>
      <c r="M150" s="202">
        <f t="shared" si="52"/>
        <v>0.13695110873626878</v>
      </c>
      <c r="N150" s="203">
        <f t="shared" si="53"/>
        <v>20.603346329651966</v>
      </c>
      <c r="O150" s="200">
        <f t="shared" si="40"/>
        <v>116.9942654177369</v>
      </c>
      <c r="P150" s="200">
        <f t="shared" si="41"/>
        <v>7.7996176945157929</v>
      </c>
      <c r="Q150" s="200">
        <f t="shared" si="42"/>
        <v>4.2003823054842071</v>
      </c>
      <c r="R150" s="200">
        <f t="shared" si="43"/>
        <v>19.799617694515792</v>
      </c>
      <c r="S150" s="204">
        <f t="shared" si="44"/>
        <v>0.24930555555555556</v>
      </c>
      <c r="T150" s="204">
        <f t="shared" si="45"/>
        <v>0.89930555555555547</v>
      </c>
      <c r="U150" s="205" t="str">
        <f t="shared" si="47"/>
        <v>E</v>
      </c>
      <c r="V150" s="272">
        <f t="shared" si="46"/>
        <v>2</v>
      </c>
      <c r="W150" s="207" t="str">
        <f>IF(Introduction!$E$7=1,CONCATENATE("🌞 ➚ ",TEXT(S150,"hh:mm")," ","➘ ",TEXT(T150,"hh:mm")),CONCATENATE("☼ ➚ ",TEXT(S150,"hh:mm")," ","➘ ",TEXT(T150,"hh:mm")))</f>
        <v>🌞 ➚ 05:59 ➘ 21:35</v>
      </c>
    </row>
    <row r="151" spans="6:23" x14ac:dyDescent="0.2">
      <c r="F151" s="198">
        <f t="shared" si="54"/>
        <v>44340</v>
      </c>
      <c r="G151" s="199">
        <f t="shared" si="48"/>
        <v>144</v>
      </c>
      <c r="H151" s="200">
        <f t="shared" si="38"/>
        <v>138.9264</v>
      </c>
      <c r="I151" s="200">
        <f t="shared" si="49"/>
        <v>1.2377390663425776</v>
      </c>
      <c r="J151" s="200">
        <f t="shared" si="39"/>
        <v>63.164139066342557</v>
      </c>
      <c r="K151" s="200">
        <f t="shared" si="50"/>
        <v>-2.0372887285783396</v>
      </c>
      <c r="L151" s="201">
        <f t="shared" si="51"/>
        <v>-3.1981986489430483</v>
      </c>
      <c r="M151" s="202">
        <f t="shared" si="52"/>
        <v>0.13325827703929369</v>
      </c>
      <c r="N151" s="203">
        <f t="shared" si="53"/>
        <v>20.790889302997545</v>
      </c>
      <c r="O151" s="200">
        <f t="shared" si="40"/>
        <v>117.27177638903548</v>
      </c>
      <c r="P151" s="200">
        <f t="shared" si="41"/>
        <v>7.8181184259356984</v>
      </c>
      <c r="Q151" s="200">
        <f t="shared" si="42"/>
        <v>4.1818815740643016</v>
      </c>
      <c r="R151" s="200">
        <f t="shared" si="43"/>
        <v>19.818118425935698</v>
      </c>
      <c r="S151" s="204">
        <f t="shared" si="44"/>
        <v>0.24861111111111112</v>
      </c>
      <c r="T151" s="204">
        <f t="shared" si="45"/>
        <v>0.9</v>
      </c>
      <c r="U151" s="205" t="str">
        <f t="shared" si="47"/>
        <v>E</v>
      </c>
      <c r="V151" s="272">
        <f t="shared" si="46"/>
        <v>2</v>
      </c>
      <c r="W151" s="207" t="str">
        <f>IF(Introduction!$E$7=1,CONCATENATE("🌞 ➚ ",TEXT(S151,"hh:mm")," ","➘ ",TEXT(T151,"hh:mm")),CONCATENATE("☼ ➚ ",TEXT(S151,"hh:mm")," ","➘ ",TEXT(T151,"hh:mm")))</f>
        <v>🌞 ➚ 05:58 ➘ 21:36</v>
      </c>
    </row>
    <row r="152" spans="6:23" x14ac:dyDescent="0.2">
      <c r="F152" s="198">
        <f t="shared" si="54"/>
        <v>44341</v>
      </c>
      <c r="G152" s="199">
        <f t="shared" si="48"/>
        <v>145</v>
      </c>
      <c r="H152" s="200">
        <f t="shared" si="38"/>
        <v>139.91200000000003</v>
      </c>
      <c r="I152" s="200">
        <f t="shared" si="49"/>
        <v>1.2128392381116062</v>
      </c>
      <c r="J152" s="200">
        <f t="shared" si="39"/>
        <v>64.124839238111576</v>
      </c>
      <c r="K152" s="200">
        <f t="shared" si="50"/>
        <v>-1.9881355856612879</v>
      </c>
      <c r="L152" s="201">
        <f t="shared" si="51"/>
        <v>-3.1011853901987267</v>
      </c>
      <c r="M152" s="202">
        <f t="shared" si="52"/>
        <v>0.12921605792494695</v>
      </c>
      <c r="N152" s="203">
        <f t="shared" si="53"/>
        <v>20.97247290593052</v>
      </c>
      <c r="O152" s="200">
        <f t="shared" si="40"/>
        <v>117.54180696575506</v>
      </c>
      <c r="P152" s="200">
        <f t="shared" si="41"/>
        <v>7.8361204643836704</v>
      </c>
      <c r="Q152" s="200">
        <f t="shared" si="42"/>
        <v>4.1638795356163296</v>
      </c>
      <c r="R152" s="200">
        <f t="shared" si="43"/>
        <v>19.836120464383669</v>
      </c>
      <c r="S152" s="204">
        <f t="shared" si="44"/>
        <v>0.24791666666666667</v>
      </c>
      <c r="T152" s="204">
        <f t="shared" si="45"/>
        <v>0.90138888888888891</v>
      </c>
      <c r="U152" s="205" t="str">
        <f t="shared" si="47"/>
        <v>E</v>
      </c>
      <c r="V152" s="272">
        <f t="shared" si="46"/>
        <v>2</v>
      </c>
      <c r="W152" s="207" t="str">
        <f>IF(Introduction!$E$7=1,CONCATENATE("🌞 ➚ ",TEXT(S152,"hh:mm")," ","➘ ",TEXT(T152,"hh:mm")),CONCATENATE("☼ ➚ ",TEXT(S152,"hh:mm")," ","➘ ",TEXT(T152,"hh:mm")))</f>
        <v>🌞 ➚ 05:57 ➘ 21:38</v>
      </c>
    </row>
    <row r="153" spans="6:23" x14ac:dyDescent="0.2">
      <c r="F153" s="198">
        <f t="shared" si="54"/>
        <v>44342</v>
      </c>
      <c r="G153" s="199">
        <f t="shared" si="48"/>
        <v>146</v>
      </c>
      <c r="H153" s="200">
        <f t="shared" si="38"/>
        <v>140.89760000000001</v>
      </c>
      <c r="I153" s="200">
        <f t="shared" si="49"/>
        <v>1.1875980223350704</v>
      </c>
      <c r="J153" s="200">
        <f t="shared" si="39"/>
        <v>65.085198022335078</v>
      </c>
      <c r="K153" s="200">
        <f t="shared" si="50"/>
        <v>-1.9365917927010323</v>
      </c>
      <c r="L153" s="201">
        <f t="shared" si="51"/>
        <v>-2.9959750814638477</v>
      </c>
      <c r="M153" s="202">
        <f t="shared" si="52"/>
        <v>0.12483229506099365</v>
      </c>
      <c r="N153" s="203">
        <f t="shared" si="53"/>
        <v>21.148034182342506</v>
      </c>
      <c r="O153" s="200">
        <f t="shared" si="40"/>
        <v>117.80415568213475</v>
      </c>
      <c r="P153" s="200">
        <f t="shared" si="41"/>
        <v>7.8536103788089831</v>
      </c>
      <c r="Q153" s="200">
        <f t="shared" si="42"/>
        <v>4.1463896211910169</v>
      </c>
      <c r="R153" s="200">
        <f t="shared" si="43"/>
        <v>19.853610378808984</v>
      </c>
      <c r="S153" s="204">
        <f t="shared" si="44"/>
        <v>0.24722222222222223</v>
      </c>
      <c r="T153" s="204">
        <f t="shared" si="45"/>
        <v>0.90208333333333324</v>
      </c>
      <c r="U153" s="205" t="str">
        <f t="shared" si="47"/>
        <v>E</v>
      </c>
      <c r="V153" s="272">
        <f t="shared" si="46"/>
        <v>2</v>
      </c>
      <c r="W153" s="207" t="str">
        <f>IF(Introduction!$E$7=1,CONCATENATE("🌞 ➚ ",TEXT(S153,"hh:mm")," ","➘ ",TEXT(T153,"hh:mm")),CONCATENATE("☼ ➚ ",TEXT(S153,"hh:mm")," ","➘ ",TEXT(T153,"hh:mm")))</f>
        <v>🌞 ➚ 05:56 ➘ 21:39</v>
      </c>
    </row>
    <row r="154" spans="6:23" x14ac:dyDescent="0.2">
      <c r="F154" s="198">
        <f t="shared" si="54"/>
        <v>44343</v>
      </c>
      <c r="G154" s="199">
        <f t="shared" si="48"/>
        <v>147</v>
      </c>
      <c r="H154" s="200">
        <f t="shared" si="38"/>
        <v>141.88319999999999</v>
      </c>
      <c r="I154" s="200">
        <f t="shared" si="49"/>
        <v>1.1620227733588746</v>
      </c>
      <c r="J154" s="200">
        <f t="shared" si="39"/>
        <v>66.045222773358887</v>
      </c>
      <c r="K154" s="200">
        <f t="shared" si="50"/>
        <v>-1.8827149808849668</v>
      </c>
      <c r="L154" s="201">
        <f t="shared" si="51"/>
        <v>-2.8827688301043688</v>
      </c>
      <c r="M154" s="202">
        <f t="shared" si="52"/>
        <v>0.12011536792101536</v>
      </c>
      <c r="N154" s="203">
        <f t="shared" si="53"/>
        <v>21.317511920468288</v>
      </c>
      <c r="O154" s="200">
        <f t="shared" si="40"/>
        <v>118.05862218787135</v>
      </c>
      <c r="P154" s="200">
        <f t="shared" si="41"/>
        <v>7.8705748125247563</v>
      </c>
      <c r="Q154" s="200">
        <f t="shared" si="42"/>
        <v>4.1294251874752437</v>
      </c>
      <c r="R154" s="200">
        <f t="shared" si="43"/>
        <v>19.870574812524758</v>
      </c>
      <c r="S154" s="204">
        <f t="shared" si="44"/>
        <v>0.24652777777777779</v>
      </c>
      <c r="T154" s="204">
        <f t="shared" si="45"/>
        <v>0.90277777777777779</v>
      </c>
      <c r="U154" s="205" t="str">
        <f t="shared" si="47"/>
        <v>E</v>
      </c>
      <c r="V154" s="272">
        <f t="shared" si="46"/>
        <v>2</v>
      </c>
      <c r="W154" s="207" t="str">
        <f>IF(Introduction!$E$7=1,CONCATENATE("🌞 ➚ ",TEXT(S154,"hh:mm")," ","➘ ",TEXT(T154,"hh:mm")),CONCATENATE("☼ ➚ ",TEXT(S154,"hh:mm")," ","➘ ",TEXT(T154,"hh:mm")))</f>
        <v>🌞 ➚ 05:55 ➘ 21:40</v>
      </c>
    </row>
    <row r="155" spans="6:23" x14ac:dyDescent="0.2">
      <c r="F155" s="198">
        <f t="shared" si="54"/>
        <v>44344</v>
      </c>
      <c r="G155" s="199">
        <f t="shared" si="48"/>
        <v>148</v>
      </c>
      <c r="H155" s="200">
        <f t="shared" si="38"/>
        <v>142.86879999999996</v>
      </c>
      <c r="I155" s="200">
        <f t="shared" si="49"/>
        <v>1.1361209238030376</v>
      </c>
      <c r="J155" s="200">
        <f t="shared" si="39"/>
        <v>67.00492092380307</v>
      </c>
      <c r="K155" s="200">
        <f t="shared" si="50"/>
        <v>-1.8265660163471951</v>
      </c>
      <c r="L155" s="201">
        <f t="shared" si="51"/>
        <v>-2.7617803701766297</v>
      </c>
      <c r="M155" s="202">
        <f t="shared" si="52"/>
        <v>0.11507418209069291</v>
      </c>
      <c r="N155" s="203">
        <f t="shared" si="53"/>
        <v>21.480846713627763</v>
      </c>
      <c r="O155" s="200">
        <f t="shared" si="40"/>
        <v>118.3050077239228</v>
      </c>
      <c r="P155" s="200">
        <f t="shared" si="41"/>
        <v>7.8870005149281868</v>
      </c>
      <c r="Q155" s="200">
        <f t="shared" si="42"/>
        <v>4.1129994850718132</v>
      </c>
      <c r="R155" s="200">
        <f t="shared" si="43"/>
        <v>19.887000514928186</v>
      </c>
      <c r="S155" s="204">
        <f t="shared" si="44"/>
        <v>0.24652777777777779</v>
      </c>
      <c r="T155" s="204">
        <f t="shared" si="45"/>
        <v>0.90347222222222223</v>
      </c>
      <c r="U155" s="205" t="str">
        <f t="shared" si="47"/>
        <v>E</v>
      </c>
      <c r="V155" s="272">
        <f t="shared" si="46"/>
        <v>2</v>
      </c>
      <c r="W155" s="207" t="str">
        <f>IF(Introduction!$E$7=1,CONCATENATE("🌞 ➚ ",TEXT(S155,"hh:mm")," ","➘ ",TEXT(T155,"hh:mm")),CONCATENATE("☼ ➚ ",TEXT(S155,"hh:mm")," ","➘ ",TEXT(T155,"hh:mm")))</f>
        <v>🌞 ➚ 05:55 ➘ 21:41</v>
      </c>
    </row>
    <row r="156" spans="6:23" x14ac:dyDescent="0.2">
      <c r="F156" s="198">
        <f t="shared" si="54"/>
        <v>44345</v>
      </c>
      <c r="G156" s="199">
        <f t="shared" si="48"/>
        <v>149</v>
      </c>
      <c r="H156" s="200">
        <f t="shared" si="38"/>
        <v>143.8544</v>
      </c>
      <c r="I156" s="200">
        <f t="shared" si="49"/>
        <v>1.1098999825222724</v>
      </c>
      <c r="J156" s="200">
        <f t="shared" si="39"/>
        <v>67.964299982522277</v>
      </c>
      <c r="K156" s="200">
        <f t="shared" si="50"/>
        <v>-1.7682089334844948</v>
      </c>
      <c r="L156" s="201">
        <f t="shared" si="51"/>
        <v>-2.6332358038488897</v>
      </c>
      <c r="M156" s="202">
        <f t="shared" si="52"/>
        <v>0.10971815849370374</v>
      </c>
      <c r="N156" s="203">
        <f t="shared" si="53"/>
        <v>21.637981020559991</v>
      </c>
      <c r="O156" s="200">
        <f t="shared" si="40"/>
        <v>118.54311561443325</v>
      </c>
      <c r="P156" s="200">
        <f t="shared" si="41"/>
        <v>7.9028743742955498</v>
      </c>
      <c r="Q156" s="200">
        <f t="shared" si="42"/>
        <v>4.0971256257044502</v>
      </c>
      <c r="R156" s="200">
        <f t="shared" si="43"/>
        <v>19.90287437429555</v>
      </c>
      <c r="S156" s="204">
        <f t="shared" si="44"/>
        <v>0.24583333333333335</v>
      </c>
      <c r="T156" s="204">
        <f t="shared" si="45"/>
        <v>0.90416666666666667</v>
      </c>
      <c r="U156" s="205" t="str">
        <f t="shared" si="47"/>
        <v>E</v>
      </c>
      <c r="V156" s="272">
        <f t="shared" si="46"/>
        <v>2</v>
      </c>
      <c r="W156" s="207" t="str">
        <f>IF(Introduction!$E$7=1,CONCATENATE("🌞 ➚ ",TEXT(S156,"hh:mm")," ","➘ ",TEXT(T156,"hh:mm")),CONCATENATE("☼ ➚ ",TEXT(S156,"hh:mm")," ","➘ ",TEXT(T156,"hh:mm")))</f>
        <v>🌞 ➚ 05:54 ➘ 21:42</v>
      </c>
    </row>
    <row r="157" spans="6:23" x14ac:dyDescent="0.2">
      <c r="F157" s="198">
        <f t="shared" si="54"/>
        <v>44346</v>
      </c>
      <c r="G157" s="199">
        <f t="shared" si="48"/>
        <v>150</v>
      </c>
      <c r="H157" s="200">
        <f t="shared" si="38"/>
        <v>144.84000000000003</v>
      </c>
      <c r="I157" s="200">
        <f t="shared" si="49"/>
        <v>1.0833675325681671</v>
      </c>
      <c r="J157" s="200">
        <f t="shared" si="39"/>
        <v>68.923367532568136</v>
      </c>
      <c r="K157" s="200">
        <f t="shared" si="50"/>
        <v>-1.7077108618663503</v>
      </c>
      <c r="L157" s="201">
        <f t="shared" si="51"/>
        <v>-2.497373317192733</v>
      </c>
      <c r="M157" s="202">
        <f t="shared" si="52"/>
        <v>0.10405722154969721</v>
      </c>
      <c r="N157" s="203">
        <f t="shared" si="53"/>
        <v>21.788859225170288</v>
      </c>
      <c r="O157" s="200">
        <f t="shared" si="40"/>
        <v>118.77275177300079</v>
      </c>
      <c r="P157" s="200">
        <f t="shared" si="41"/>
        <v>7.9181834515333858</v>
      </c>
      <c r="Q157" s="200">
        <f t="shared" si="42"/>
        <v>4.0818165484666142</v>
      </c>
      <c r="R157" s="200">
        <f t="shared" si="43"/>
        <v>19.918183451533388</v>
      </c>
      <c r="S157" s="204">
        <f t="shared" si="44"/>
        <v>0.24513888888888888</v>
      </c>
      <c r="T157" s="204">
        <f t="shared" si="45"/>
        <v>0.90486111111111101</v>
      </c>
      <c r="U157" s="205" t="str">
        <f t="shared" si="47"/>
        <v>E</v>
      </c>
      <c r="V157" s="272">
        <f t="shared" si="46"/>
        <v>2</v>
      </c>
      <c r="W157" s="207" t="str">
        <f>IF(Introduction!$E$7=1,CONCATENATE("🌞 ➚ ",TEXT(S157,"hh:mm")," ","➘ ",TEXT(T157,"hh:mm")),CONCATENATE("☼ ➚ ",TEXT(S157,"hh:mm")," ","➘ ",TEXT(T157,"hh:mm")))</f>
        <v>🌞 ➚ 05:53 ➘ 21:43</v>
      </c>
    </row>
    <row r="158" spans="6:23" x14ac:dyDescent="0.2">
      <c r="F158" s="198">
        <f t="shared" si="54"/>
        <v>44347</v>
      </c>
      <c r="G158" s="199">
        <f t="shared" si="48"/>
        <v>151</v>
      </c>
      <c r="H158" s="200">
        <f t="shared" si="38"/>
        <v>145.82560000000001</v>
      </c>
      <c r="I158" s="200">
        <f t="shared" si="49"/>
        <v>1.056531229153336</v>
      </c>
      <c r="J158" s="200">
        <f t="shared" si="39"/>
        <v>69.882131229153345</v>
      </c>
      <c r="K158" s="200">
        <f t="shared" si="50"/>
        <v>-1.645141946834235</v>
      </c>
      <c r="L158" s="201">
        <f t="shared" si="51"/>
        <v>-2.354442870723596</v>
      </c>
      <c r="M158" s="202">
        <f t="shared" si="52"/>
        <v>9.810178628014983E-2</v>
      </c>
      <c r="N158" s="203">
        <f t="shared" si="53"/>
        <v>21.933427695507799</v>
      </c>
      <c r="O158" s="200">
        <f t="shared" si="40"/>
        <v>118.99372522128638</v>
      </c>
      <c r="P158" s="200">
        <f t="shared" si="41"/>
        <v>7.9329150147524254</v>
      </c>
      <c r="Q158" s="200">
        <f t="shared" si="42"/>
        <v>4.0670849852475746</v>
      </c>
      <c r="R158" s="200">
        <f t="shared" si="43"/>
        <v>19.932915014752425</v>
      </c>
      <c r="S158" s="204">
        <f t="shared" si="44"/>
        <v>0.24444444444444446</v>
      </c>
      <c r="T158" s="204">
        <f t="shared" si="45"/>
        <v>0.90555555555555556</v>
      </c>
      <c r="U158" s="205" t="str">
        <f t="shared" si="47"/>
        <v>E</v>
      </c>
      <c r="V158" s="272">
        <f t="shared" si="46"/>
        <v>2</v>
      </c>
      <c r="W158" s="207" t="str">
        <f>IF(Introduction!$E$7=1,CONCATENATE("🌞 ➚ ",TEXT(S158,"hh:mm")," ","➘ ",TEXT(T158,"hh:mm")),CONCATENATE("☼ ➚ ",TEXT(S158,"hh:mm")," ","➘ ",TEXT(T158,"hh:mm")))</f>
        <v>🌞 ➚ 05:52 ➘ 21:44</v>
      </c>
    </row>
    <row r="159" spans="6:23" x14ac:dyDescent="0.2">
      <c r="F159" s="198">
        <f t="shared" si="54"/>
        <v>44348</v>
      </c>
      <c r="G159" s="199">
        <f t="shared" si="48"/>
        <v>152</v>
      </c>
      <c r="H159" s="200">
        <f t="shared" si="38"/>
        <v>146.81119999999999</v>
      </c>
      <c r="I159" s="200">
        <f t="shared" si="49"/>
        <v>1.0293987976179086</v>
      </c>
      <c r="J159" s="200">
        <f t="shared" si="39"/>
        <v>70.840598797617872</v>
      </c>
      <c r="K159" s="200">
        <f t="shared" si="50"/>
        <v>-1.5805752639049144</v>
      </c>
      <c r="L159" s="201">
        <f t="shared" si="51"/>
        <v>-2.2047058651480231</v>
      </c>
      <c r="M159" s="202">
        <f t="shared" si="52"/>
        <v>9.1862744381167635E-2</v>
      </c>
      <c r="N159" s="203">
        <f t="shared" si="53"/>
        <v>22.071634841788935</v>
      </c>
      <c r="O159" s="200">
        <f t="shared" si="40"/>
        <v>119.2058486177453</v>
      </c>
      <c r="P159" s="200">
        <f t="shared" si="41"/>
        <v>7.9470565745163535</v>
      </c>
      <c r="Q159" s="200">
        <f t="shared" si="42"/>
        <v>4.0529434254836465</v>
      </c>
      <c r="R159" s="200">
        <f t="shared" si="43"/>
        <v>19.947056574516353</v>
      </c>
      <c r="S159" s="204">
        <f t="shared" si="44"/>
        <v>0.24444444444444446</v>
      </c>
      <c r="T159" s="204">
        <f t="shared" si="45"/>
        <v>0.90625</v>
      </c>
      <c r="U159" s="205" t="str">
        <f t="shared" si="47"/>
        <v>E</v>
      </c>
      <c r="V159" s="272">
        <f t="shared" si="46"/>
        <v>2</v>
      </c>
      <c r="W159" s="207" t="str">
        <f>IF(Introduction!$E$7=1,CONCATENATE("🌞 ➚ ",TEXT(S159,"hh:mm")," ","➘ ",TEXT(T159,"hh:mm")),CONCATENATE("☼ ➚ ",TEXT(S159,"hh:mm")," ","➘ ",TEXT(T159,"hh:mm")))</f>
        <v>🌞 ➚ 05:52 ➘ 21:45</v>
      </c>
    </row>
    <row r="160" spans="6:23" x14ac:dyDescent="0.2">
      <c r="F160" s="198">
        <f t="shared" si="54"/>
        <v>44349</v>
      </c>
      <c r="G160" s="199">
        <f t="shared" si="48"/>
        <v>153</v>
      </c>
      <c r="H160" s="200">
        <f t="shared" si="38"/>
        <v>147.79680000000002</v>
      </c>
      <c r="I160" s="200">
        <f t="shared" si="49"/>
        <v>1.0019780313986839</v>
      </c>
      <c r="J160" s="200">
        <f t="shared" si="39"/>
        <v>71.798778031398683</v>
      </c>
      <c r="K160" s="200">
        <f t="shared" si="50"/>
        <v>-1.5140867271116958</v>
      </c>
      <c r="L160" s="201">
        <f t="shared" si="51"/>
        <v>-2.0484347828520475</v>
      </c>
      <c r="M160" s="202">
        <f t="shared" si="52"/>
        <v>8.5351449285501979E-2</v>
      </c>
      <c r="N160" s="203">
        <f t="shared" si="53"/>
        <v>22.203431173280606</v>
      </c>
      <c r="O160" s="200">
        <f t="shared" si="40"/>
        <v>119.40893879405054</v>
      </c>
      <c r="P160" s="200">
        <f t="shared" si="41"/>
        <v>7.9605959196033691</v>
      </c>
      <c r="Q160" s="200">
        <f t="shared" si="42"/>
        <v>4.0394040803966309</v>
      </c>
      <c r="R160" s="200">
        <f t="shared" si="43"/>
        <v>19.960595919603371</v>
      </c>
      <c r="S160" s="204">
        <f t="shared" si="44"/>
        <v>0.24374999999999999</v>
      </c>
      <c r="T160" s="204">
        <f t="shared" si="45"/>
        <v>0.90694444444444444</v>
      </c>
      <c r="U160" s="205" t="str">
        <f t="shared" si="47"/>
        <v>E</v>
      </c>
      <c r="V160" s="272">
        <f t="shared" si="46"/>
        <v>2</v>
      </c>
      <c r="W160" s="207" t="str">
        <f>IF(Introduction!$E$7=1,CONCATENATE("🌞 ➚ ",TEXT(S160,"hh:mm")," ","➘ ",TEXT(T160,"hh:mm")),CONCATENATE("☼ ➚ ",TEXT(S160,"hh:mm")," ","➘ ",TEXT(T160,"hh:mm")))</f>
        <v>🌞 ➚ 05:51 ➘ 21:46</v>
      </c>
    </row>
    <row r="161" spans="6:23" x14ac:dyDescent="0.2">
      <c r="F161" s="198">
        <f t="shared" si="54"/>
        <v>44350</v>
      </c>
      <c r="G161" s="199">
        <f t="shared" si="48"/>
        <v>154</v>
      </c>
      <c r="H161" s="200">
        <f t="shared" si="38"/>
        <v>148.7824</v>
      </c>
      <c r="I161" s="200">
        <f t="shared" si="49"/>
        <v>0.97427679000124745</v>
      </c>
      <c r="J161" s="200">
        <f t="shared" si="39"/>
        <v>72.756676790001222</v>
      </c>
      <c r="K161" s="200">
        <f t="shared" si="50"/>
        <v>-1.4457549914366667</v>
      </c>
      <c r="L161" s="201">
        <f t="shared" si="51"/>
        <v>-1.8859128057416772</v>
      </c>
      <c r="M161" s="202">
        <f t="shared" si="52"/>
        <v>7.857970023923655E-2</v>
      </c>
      <c r="N161" s="203">
        <f t="shared" si="53"/>
        <v>22.328769353856273</v>
      </c>
      <c r="O161" s="200">
        <f t="shared" si="40"/>
        <v>119.6028172965766</v>
      </c>
      <c r="P161" s="200">
        <f t="shared" si="41"/>
        <v>7.9735211531051071</v>
      </c>
      <c r="Q161" s="200">
        <f t="shared" si="42"/>
        <v>4.0264788468948929</v>
      </c>
      <c r="R161" s="200">
        <f t="shared" si="43"/>
        <v>19.973521153105107</v>
      </c>
      <c r="S161" s="204">
        <f t="shared" si="44"/>
        <v>0.24305555555555555</v>
      </c>
      <c r="T161" s="204">
        <f t="shared" si="45"/>
        <v>0.90763888888888899</v>
      </c>
      <c r="U161" s="205" t="str">
        <f t="shared" si="47"/>
        <v>E</v>
      </c>
      <c r="V161" s="272">
        <f t="shared" si="46"/>
        <v>2</v>
      </c>
      <c r="W161" s="207" t="str">
        <f>IF(Introduction!$E$7=1,CONCATENATE("🌞 ➚ ",TEXT(S161,"hh:mm")," ","➘ ",TEXT(T161,"hh:mm")),CONCATENATE("☼ ➚ ",TEXT(S161,"hh:mm")," ","➘ ",TEXT(T161,"hh:mm")))</f>
        <v>🌞 ➚ 05:50 ➘ 21:47</v>
      </c>
    </row>
    <row r="162" spans="6:23" x14ac:dyDescent="0.2">
      <c r="F162" s="198">
        <f t="shared" si="54"/>
        <v>44351</v>
      </c>
      <c r="G162" s="199">
        <f t="shared" si="48"/>
        <v>155</v>
      </c>
      <c r="H162" s="200">
        <f t="shared" si="38"/>
        <v>149.76800000000003</v>
      </c>
      <c r="I162" s="200">
        <f t="shared" si="49"/>
        <v>0.94630299697531162</v>
      </c>
      <c r="J162" s="200">
        <f t="shared" si="39"/>
        <v>73.714302996975334</v>
      </c>
      <c r="K162" s="200">
        <f t="shared" si="50"/>
        <v>-1.3756613495050019</v>
      </c>
      <c r="L162" s="201">
        <f t="shared" si="51"/>
        <v>-1.7174334101187609</v>
      </c>
      <c r="M162" s="202">
        <f t="shared" si="52"/>
        <v>7.1559725421615039E-2</v>
      </c>
      <c r="N162" s="203">
        <f t="shared" si="53"/>
        <v>22.447604256038584</v>
      </c>
      <c r="O162" s="200">
        <f t="shared" si="40"/>
        <v>119.78731093012668</v>
      </c>
      <c r="P162" s="200">
        <f t="shared" si="41"/>
        <v>7.9858207286751117</v>
      </c>
      <c r="Q162" s="200">
        <f t="shared" si="42"/>
        <v>4.0141792713248883</v>
      </c>
      <c r="R162" s="200">
        <f t="shared" si="43"/>
        <v>19.985820728675112</v>
      </c>
      <c r="S162" s="204">
        <f t="shared" si="44"/>
        <v>0.24305555555555555</v>
      </c>
      <c r="T162" s="204">
        <f t="shared" si="45"/>
        <v>0.90833333333333333</v>
      </c>
      <c r="U162" s="205" t="str">
        <f t="shared" si="47"/>
        <v>E</v>
      </c>
      <c r="V162" s="272">
        <f t="shared" si="46"/>
        <v>2</v>
      </c>
      <c r="W162" s="207" t="str">
        <f>IF(Introduction!$E$7=1,CONCATENATE("🌞 ➚ ",TEXT(S162,"hh:mm")," ","➘ ",TEXT(T162,"hh:mm")),CONCATENATE("☼ ➚ ",TEXT(S162,"hh:mm")," ","➘ ",TEXT(T162,"hh:mm")))</f>
        <v>🌞 ➚ 05:50 ➘ 21:48</v>
      </c>
    </row>
    <row r="163" spans="6:23" x14ac:dyDescent="0.2">
      <c r="F163" s="198">
        <f t="shared" si="54"/>
        <v>44352</v>
      </c>
      <c r="G163" s="199">
        <f t="shared" si="48"/>
        <v>156</v>
      </c>
      <c r="H163" s="200">
        <f t="shared" si="38"/>
        <v>150.75360000000001</v>
      </c>
      <c r="I163" s="200">
        <f t="shared" si="49"/>
        <v>0.91806463789354387</v>
      </c>
      <c r="J163" s="200">
        <f t="shared" si="39"/>
        <v>74.671664637893571</v>
      </c>
      <c r="K163" s="200">
        <f t="shared" si="50"/>
        <v>-1.3038896227306094</v>
      </c>
      <c r="L163" s="201">
        <f t="shared" si="51"/>
        <v>-1.543299939348262</v>
      </c>
      <c r="M163" s="202">
        <f t="shared" si="52"/>
        <v>6.4304164139510914E-2</v>
      </c>
      <c r="N163" s="203">
        <f t="shared" si="53"/>
        <v>22.559893013343299</v>
      </c>
      <c r="O163" s="200">
        <f t="shared" si="40"/>
        <v>119.96225230091684</v>
      </c>
      <c r="P163" s="200">
        <f t="shared" si="41"/>
        <v>7.9974834867277895</v>
      </c>
      <c r="Q163" s="200">
        <f t="shared" si="42"/>
        <v>4.0025165132722105</v>
      </c>
      <c r="R163" s="200">
        <f t="shared" si="43"/>
        <v>19.997483486727788</v>
      </c>
      <c r="S163" s="204">
        <f t="shared" si="44"/>
        <v>0.24236111111111111</v>
      </c>
      <c r="T163" s="204">
        <f t="shared" si="45"/>
        <v>0.90902777777777777</v>
      </c>
      <c r="U163" s="205" t="str">
        <f t="shared" si="47"/>
        <v>E</v>
      </c>
      <c r="V163" s="272">
        <f t="shared" si="46"/>
        <v>2</v>
      </c>
      <c r="W163" s="207" t="str">
        <f>IF(Introduction!$E$7=1,CONCATENATE("🌞 ➚ ",TEXT(S163,"hh:mm")," ","➘ ",TEXT(T163,"hh:mm")),CONCATENATE("☼ ➚ ",TEXT(S163,"hh:mm")," ","➘ ",TEXT(T163,"hh:mm")))</f>
        <v>🌞 ➚ 05:49 ➘ 21:49</v>
      </c>
    </row>
    <row r="164" spans="6:23" x14ac:dyDescent="0.2">
      <c r="F164" s="198">
        <f t="shared" si="54"/>
        <v>44353</v>
      </c>
      <c r="G164" s="199">
        <f t="shared" si="48"/>
        <v>157</v>
      </c>
      <c r="H164" s="200">
        <f t="shared" si="38"/>
        <v>151.73919999999998</v>
      </c>
      <c r="I164" s="200">
        <f t="shared" si="49"/>
        <v>0.88956975833407115</v>
      </c>
      <c r="J164" s="200">
        <f t="shared" si="39"/>
        <v>75.628769758334101</v>
      </c>
      <c r="K164" s="200">
        <f t="shared" si="50"/>
        <v>-1.2305260471193333</v>
      </c>
      <c r="L164" s="201">
        <f t="shared" si="51"/>
        <v>-1.3638251551410487</v>
      </c>
      <c r="M164" s="202">
        <f t="shared" si="52"/>
        <v>5.6826048130877028E-2</v>
      </c>
      <c r="N164" s="203">
        <f t="shared" si="53"/>
        <v>22.665595070741741</v>
      </c>
      <c r="O164" s="200">
        <f t="shared" si="40"/>
        <v>120.1274803556833</v>
      </c>
      <c r="P164" s="200">
        <f t="shared" si="41"/>
        <v>8.0084986903788877</v>
      </c>
      <c r="Q164" s="200">
        <f t="shared" si="42"/>
        <v>3.9915013096211123</v>
      </c>
      <c r="R164" s="200">
        <f t="shared" si="43"/>
        <v>20.008498690378886</v>
      </c>
      <c r="S164" s="204">
        <f t="shared" si="44"/>
        <v>0.24236111111111111</v>
      </c>
      <c r="T164" s="204">
        <f t="shared" si="45"/>
        <v>0.90972222222222221</v>
      </c>
      <c r="U164" s="205" t="str">
        <f t="shared" si="47"/>
        <v>E</v>
      </c>
      <c r="V164" s="272">
        <f t="shared" si="46"/>
        <v>2</v>
      </c>
      <c r="W164" s="207" t="str">
        <f>IF(Introduction!$E$7=1,CONCATENATE("🌞 ➚ ",TEXT(S164,"hh:mm")," ","➘ ",TEXT(T164,"hh:mm")),CONCATENATE("☼ ➚ ",TEXT(S164,"hh:mm")," ","➘ ",TEXT(T164,"hh:mm")))</f>
        <v>🌞 ➚ 05:49 ➘ 21:50</v>
      </c>
    </row>
    <row r="165" spans="6:23" x14ac:dyDescent="0.2">
      <c r="F165" s="198">
        <f t="shared" si="54"/>
        <v>44354</v>
      </c>
      <c r="G165" s="199">
        <f t="shared" si="48"/>
        <v>158</v>
      </c>
      <c r="H165" s="200">
        <f t="shared" si="38"/>
        <v>152.72479999999996</v>
      </c>
      <c r="I165" s="200">
        <f t="shared" si="49"/>
        <v>0.86082646186687828</v>
      </c>
      <c r="J165" s="200">
        <f t="shared" si="39"/>
        <v>76.585626461866866</v>
      </c>
      <c r="K165" s="200">
        <f t="shared" si="50"/>
        <v>-1.1556591539527252</v>
      </c>
      <c r="L165" s="201">
        <f t="shared" si="51"/>
        <v>-1.1793307683433878</v>
      </c>
      <c r="M165" s="202">
        <f t="shared" si="52"/>
        <v>4.9138782014307825E-2</v>
      </c>
      <c r="N165" s="203">
        <f t="shared" si="53"/>
        <v>22.764672233062232</v>
      </c>
      <c r="O165" s="200">
        <f t="shared" si="40"/>
        <v>120.28284091365779</v>
      </c>
      <c r="P165" s="200">
        <f t="shared" si="41"/>
        <v>8.0188560609105188</v>
      </c>
      <c r="Q165" s="200">
        <f t="shared" si="42"/>
        <v>3.9811439390894812</v>
      </c>
      <c r="R165" s="200">
        <f t="shared" si="43"/>
        <v>20.018856060910519</v>
      </c>
      <c r="S165" s="204">
        <f t="shared" si="44"/>
        <v>0.24166666666666667</v>
      </c>
      <c r="T165" s="204">
        <f t="shared" si="45"/>
        <v>0.91041666666666676</v>
      </c>
      <c r="U165" s="205" t="str">
        <f t="shared" si="47"/>
        <v>E</v>
      </c>
      <c r="V165" s="272">
        <f t="shared" si="46"/>
        <v>2</v>
      </c>
      <c r="W165" s="207" t="str">
        <f>IF(Introduction!$E$7=1,CONCATENATE("🌞 ➚ ",TEXT(S165,"hh:mm")," ","➘ ",TEXT(T165,"hh:mm")),CONCATENATE("☼ ➚ ",TEXT(S165,"hh:mm")," ","➘ ",TEXT(T165,"hh:mm")))</f>
        <v>🌞 ➚ 05:48 ➘ 21:51</v>
      </c>
    </row>
    <row r="166" spans="6:23" x14ac:dyDescent="0.2">
      <c r="F166" s="198">
        <f t="shared" si="54"/>
        <v>44355</v>
      </c>
      <c r="G166" s="199">
        <f t="shared" si="48"/>
        <v>159</v>
      </c>
      <c r="H166" s="200">
        <f t="shared" si="38"/>
        <v>153.71039999999994</v>
      </c>
      <c r="I166" s="200">
        <f t="shared" si="49"/>
        <v>0.83184290804423311</v>
      </c>
      <c r="J166" s="200">
        <f t="shared" si="39"/>
        <v>77.542242908044216</v>
      </c>
      <c r="K166" s="200">
        <f t="shared" si="50"/>
        <v>-1.0793796455911195</v>
      </c>
      <c r="L166" s="201">
        <f t="shared" si="51"/>
        <v>-0.99014695018754573</v>
      </c>
      <c r="M166" s="202">
        <f t="shared" si="52"/>
        <v>4.1256122924481074E-2</v>
      </c>
      <c r="N166" s="203">
        <f t="shared" si="53"/>
        <v>22.857088711155075</v>
      </c>
      <c r="O166" s="200">
        <f t="shared" si="40"/>
        <v>120.42818718806129</v>
      </c>
      <c r="P166" s="200">
        <f t="shared" si="41"/>
        <v>8.0285458125374198</v>
      </c>
      <c r="Q166" s="200">
        <f t="shared" si="42"/>
        <v>3.9714541874625802</v>
      </c>
      <c r="R166" s="200">
        <f t="shared" si="43"/>
        <v>20.02854581253742</v>
      </c>
      <c r="S166" s="204">
        <f t="shared" si="44"/>
        <v>0.24166666666666667</v>
      </c>
      <c r="T166" s="204">
        <f t="shared" si="45"/>
        <v>0.91041666666666676</v>
      </c>
      <c r="U166" s="205" t="str">
        <f t="shared" si="47"/>
        <v>E</v>
      </c>
      <c r="V166" s="272">
        <f t="shared" si="46"/>
        <v>2</v>
      </c>
      <c r="W166" s="207" t="str">
        <f>IF(Introduction!$E$7=1,CONCATENATE("🌞 ➚ ",TEXT(S166,"hh:mm")," ","➘ ",TEXT(T166,"hh:mm")),CONCATENATE("☼ ➚ ",TEXT(S166,"hh:mm")," ","➘ ",TEXT(T166,"hh:mm")))</f>
        <v>🌞 ➚ 05:48 ➘ 21:51</v>
      </c>
    </row>
    <row r="167" spans="6:23" x14ac:dyDescent="0.2">
      <c r="F167" s="198">
        <f t="shared" si="54"/>
        <v>44356</v>
      </c>
      <c r="G167" s="199">
        <f t="shared" si="48"/>
        <v>160</v>
      </c>
      <c r="H167" s="200">
        <f t="shared" si="38"/>
        <v>154.69600000000003</v>
      </c>
      <c r="I167" s="200">
        <f t="shared" si="49"/>
        <v>0.80262731039529134</v>
      </c>
      <c r="J167" s="200">
        <f t="shared" si="39"/>
        <v>78.49862731039525</v>
      </c>
      <c r="K167" s="200">
        <f t="shared" si="50"/>
        <v>-1.0017802666499471</v>
      </c>
      <c r="L167" s="201">
        <f t="shared" si="51"/>
        <v>-0.79661182501862315</v>
      </c>
      <c r="M167" s="202">
        <f t="shared" si="52"/>
        <v>3.3192159375775965E-2</v>
      </c>
      <c r="N167" s="203">
        <f t="shared" si="53"/>
        <v>22.942811165651268</v>
      </c>
      <c r="O167" s="200">
        <f t="shared" si="40"/>
        <v>120.56338029370478</v>
      </c>
      <c r="P167" s="200">
        <f t="shared" si="41"/>
        <v>8.0375586862469852</v>
      </c>
      <c r="Q167" s="200">
        <f t="shared" si="42"/>
        <v>3.9624413137530148</v>
      </c>
      <c r="R167" s="200">
        <f t="shared" si="43"/>
        <v>20.037558686246985</v>
      </c>
      <c r="S167" s="204">
        <f t="shared" si="44"/>
        <v>0.24166666666666667</v>
      </c>
      <c r="T167" s="204">
        <f t="shared" si="45"/>
        <v>0.91111111111111109</v>
      </c>
      <c r="U167" s="205" t="str">
        <f t="shared" si="47"/>
        <v>E</v>
      </c>
      <c r="V167" s="272">
        <f t="shared" si="46"/>
        <v>2</v>
      </c>
      <c r="W167" s="207" t="str">
        <f>IF(Introduction!$E$7=1,CONCATENATE("🌞 ➚ ",TEXT(S167,"hh:mm")," ","➘ ",TEXT(T167,"hh:mm")),CONCATENATE("☼ ➚ ",TEXT(S167,"hh:mm")," ","➘ ",TEXT(T167,"hh:mm")))</f>
        <v>🌞 ➚ 05:48 ➘ 21:52</v>
      </c>
    </row>
    <row r="168" spans="6:23" x14ac:dyDescent="0.2">
      <c r="F168" s="198">
        <f t="shared" si="54"/>
        <v>44357</v>
      </c>
      <c r="G168" s="199">
        <f t="shared" si="48"/>
        <v>161</v>
      </c>
      <c r="H168" s="200">
        <f t="shared" si="38"/>
        <v>155.6816</v>
      </c>
      <c r="I168" s="200">
        <f t="shared" si="49"/>
        <v>0.77318793442500156</v>
      </c>
      <c r="J168" s="200">
        <f t="shared" si="39"/>
        <v>79.454787934424985</v>
      </c>
      <c r="K168" s="200">
        <f t="shared" si="50"/>
        <v>-0.92295567081736329</v>
      </c>
      <c r="L168" s="201">
        <f t="shared" si="51"/>
        <v>-0.59907094556944696</v>
      </c>
      <c r="M168" s="202">
        <f t="shared" si="52"/>
        <v>2.4961289398726955E-2</v>
      </c>
      <c r="N168" s="203">
        <f t="shared" si="53"/>
        <v>23.021808748151152</v>
      </c>
      <c r="O168" s="200">
        <f t="shared" si="40"/>
        <v>120.6882897372582</v>
      </c>
      <c r="P168" s="200">
        <f t="shared" si="41"/>
        <v>8.0458859824838793</v>
      </c>
      <c r="Q168" s="200">
        <f t="shared" si="42"/>
        <v>3.9541140175161207</v>
      </c>
      <c r="R168" s="200">
        <f t="shared" si="43"/>
        <v>20.045885982483881</v>
      </c>
      <c r="S168" s="204">
        <f t="shared" si="44"/>
        <v>0.24097222222222223</v>
      </c>
      <c r="T168" s="204">
        <f t="shared" si="45"/>
        <v>0.91180555555555554</v>
      </c>
      <c r="U168" s="205" t="str">
        <f t="shared" si="47"/>
        <v>E</v>
      </c>
      <c r="V168" s="272">
        <f t="shared" si="46"/>
        <v>2</v>
      </c>
      <c r="W168" s="207" t="str">
        <f>IF(Introduction!$E$7=1,CONCATENATE("🌞 ➚ ",TEXT(S168,"hh:mm")," ","➘ ",TEXT(T168,"hh:mm")),CONCATENATE("☼ ➚ ",TEXT(S168,"hh:mm")," ","➘ ",TEXT(T168,"hh:mm")))</f>
        <v>🌞 ➚ 05:47 ➘ 21:53</v>
      </c>
    </row>
    <row r="169" spans="6:23" x14ac:dyDescent="0.2">
      <c r="F169" s="198">
        <f t="shared" si="54"/>
        <v>44358</v>
      </c>
      <c r="G169" s="199">
        <f t="shared" si="48"/>
        <v>162</v>
      </c>
      <c r="H169" s="200">
        <f t="shared" si="38"/>
        <v>156.66719999999998</v>
      </c>
      <c r="I169" s="200">
        <f t="shared" si="49"/>
        <v>0.74353309561734149</v>
      </c>
      <c r="J169" s="200">
        <f t="shared" si="39"/>
        <v>80.410733095617388</v>
      </c>
      <c r="K169" s="200">
        <f t="shared" si="50"/>
        <v>-0.84300228359484919</v>
      </c>
      <c r="L169" s="201">
        <f t="shared" si="51"/>
        <v>-0.3978767519100308</v>
      </c>
      <c r="M169" s="202">
        <f t="shared" si="52"/>
        <v>1.6578197996251282E-2</v>
      </c>
      <c r="N169" s="203">
        <f t="shared" si="53"/>
        <v>23.094053139686661</v>
      </c>
      <c r="O169" s="200">
        <f t="shared" si="40"/>
        <v>120.80279388675764</v>
      </c>
      <c r="P169" s="200">
        <f t="shared" si="41"/>
        <v>8.0535195924505096</v>
      </c>
      <c r="Q169" s="200">
        <f t="shared" si="42"/>
        <v>3.9464804075494904</v>
      </c>
      <c r="R169" s="200">
        <f t="shared" si="43"/>
        <v>20.05351959245051</v>
      </c>
      <c r="S169" s="204">
        <f t="shared" si="44"/>
        <v>0.24097222222222223</v>
      </c>
      <c r="T169" s="204">
        <f t="shared" si="45"/>
        <v>0.91180555555555554</v>
      </c>
      <c r="U169" s="205" t="str">
        <f t="shared" si="47"/>
        <v>E</v>
      </c>
      <c r="V169" s="272">
        <f t="shared" si="46"/>
        <v>2</v>
      </c>
      <c r="W169" s="207" t="str">
        <f>IF(Introduction!$E$7=1,CONCATENATE("🌞 ➚ ",TEXT(S169,"hh:mm")," ","➘ ",TEXT(T169,"hh:mm")),CONCATENATE("☼ ➚ ",TEXT(S169,"hh:mm")," ","➘ ",TEXT(T169,"hh:mm")))</f>
        <v>🌞 ➚ 05:47 ➘ 21:53</v>
      </c>
    </row>
    <row r="170" spans="6:23" x14ac:dyDescent="0.2">
      <c r="F170" s="198">
        <f t="shared" si="54"/>
        <v>44359</v>
      </c>
      <c r="G170" s="199">
        <f t="shared" si="48"/>
        <v>163</v>
      </c>
      <c r="H170" s="200">
        <f t="shared" si="38"/>
        <v>157.65280000000007</v>
      </c>
      <c r="I170" s="200">
        <f t="shared" si="49"/>
        <v>0.71367115744301557</v>
      </c>
      <c r="J170" s="200">
        <f t="shared" si="39"/>
        <v>81.366471157443016</v>
      </c>
      <c r="K170" s="200">
        <f t="shared" si="50"/>
        <v>-0.76201816125475885</v>
      </c>
      <c r="L170" s="201">
        <f t="shared" si="51"/>
        <v>-0.19338801524697313</v>
      </c>
      <c r="M170" s="202">
        <f t="shared" si="52"/>
        <v>8.0578339686238811E-3</v>
      </c>
      <c r="N170" s="203">
        <f t="shared" si="53"/>
        <v>23.159518586309058</v>
      </c>
      <c r="O170" s="200">
        <f t="shared" si="40"/>
        <v>120.90678041696833</v>
      </c>
      <c r="P170" s="200">
        <f t="shared" si="41"/>
        <v>8.0604520277978882</v>
      </c>
      <c r="Q170" s="200">
        <f t="shared" si="42"/>
        <v>3.9395479722021118</v>
      </c>
      <c r="R170" s="200">
        <f t="shared" si="43"/>
        <v>20.060452027797886</v>
      </c>
      <c r="S170" s="204">
        <f t="shared" si="44"/>
        <v>0.24097222222222223</v>
      </c>
      <c r="T170" s="204">
        <f t="shared" si="45"/>
        <v>0.91249999999999998</v>
      </c>
      <c r="U170" s="205" t="str">
        <f t="shared" si="47"/>
        <v>E</v>
      </c>
      <c r="V170" s="272">
        <f t="shared" si="46"/>
        <v>2</v>
      </c>
      <c r="W170" s="207" t="str">
        <f>IF(Introduction!$E$7=1,CONCATENATE("🌞 ➚ ",TEXT(S170,"hh:mm")," ","➘ ",TEXT(T170,"hh:mm")),CONCATENATE("☼ ➚ ",TEXT(S170,"hh:mm")," ","➘ ",TEXT(T170,"hh:mm")))</f>
        <v>🌞 ➚ 05:47 ➘ 21:54</v>
      </c>
    </row>
    <row r="171" spans="6:23" x14ac:dyDescent="0.2">
      <c r="F171" s="198">
        <f t="shared" si="54"/>
        <v>44360</v>
      </c>
      <c r="G171" s="199">
        <f t="shared" si="48"/>
        <v>164</v>
      </c>
      <c r="H171" s="200">
        <f t="shared" si="38"/>
        <v>158.63840000000005</v>
      </c>
      <c r="I171" s="200">
        <f t="shared" si="49"/>
        <v>0.68361052937161704</v>
      </c>
      <c r="J171" s="200">
        <f t="shared" si="39"/>
        <v>82.322010529371596</v>
      </c>
      <c r="K171" s="200">
        <f t="shared" si="50"/>
        <v>-0.68010284632040618</v>
      </c>
      <c r="L171" s="201">
        <f t="shared" si="51"/>
        <v>1.403073220484341E-2</v>
      </c>
      <c r="M171" s="202">
        <f t="shared" si="52"/>
        <v>5.8461384186847543E-4</v>
      </c>
      <c r="N171" s="203">
        <f t="shared" si="53"/>
        <v>23.218181931663182</v>
      </c>
      <c r="O171" s="200">
        <f t="shared" si="40"/>
        <v>121.00014672730889</v>
      </c>
      <c r="P171" s="200">
        <f t="shared" si="41"/>
        <v>8.0666764484872591</v>
      </c>
      <c r="Q171" s="200">
        <f t="shared" si="42"/>
        <v>3.9333235515127409</v>
      </c>
      <c r="R171" s="200">
        <f t="shared" si="43"/>
        <v>20.066676448487257</v>
      </c>
      <c r="S171" s="204">
        <f t="shared" si="44"/>
        <v>0.24097222222222223</v>
      </c>
      <c r="T171" s="204">
        <f t="shared" si="45"/>
        <v>0.91319444444444453</v>
      </c>
      <c r="U171" s="205" t="str">
        <f t="shared" si="47"/>
        <v>E</v>
      </c>
      <c r="V171" s="272">
        <f t="shared" si="46"/>
        <v>2</v>
      </c>
      <c r="W171" s="207" t="str">
        <f>IF(Introduction!$E$7=1,CONCATENATE("🌞 ➚ ",TEXT(S171,"hh:mm")," ","➘ ",TEXT(T171,"hh:mm")),CONCATENATE("☼ ➚ ",TEXT(S171,"hh:mm")," ","➘ ",TEXT(T171,"hh:mm")))</f>
        <v>🌞 ➚ 05:47 ➘ 21:55</v>
      </c>
    </row>
    <row r="172" spans="6:23" x14ac:dyDescent="0.2">
      <c r="F172" s="198">
        <f t="shared" si="54"/>
        <v>44361</v>
      </c>
      <c r="G172" s="199">
        <f t="shared" si="48"/>
        <v>165</v>
      </c>
      <c r="H172" s="200">
        <f t="shared" si="38"/>
        <v>159.62400000000002</v>
      </c>
      <c r="I172" s="200">
        <f t="shared" si="49"/>
        <v>0.65335966488823005</v>
      </c>
      <c r="J172" s="200">
        <f t="shared" si="39"/>
        <v>83.277359664888195</v>
      </c>
      <c r="K172" s="200">
        <f t="shared" si="50"/>
        <v>-0.59735721988494905</v>
      </c>
      <c r="L172" s="201">
        <f t="shared" si="51"/>
        <v>0.22400978001312399</v>
      </c>
      <c r="M172" s="202">
        <f t="shared" si="52"/>
        <v>9.3337408338801664E-3</v>
      </c>
      <c r="N172" s="203">
        <f t="shared" si="53"/>
        <v>23.27002264641931</v>
      </c>
      <c r="O172" s="200">
        <f t="shared" si="40"/>
        <v>121.08280032917021</v>
      </c>
      <c r="P172" s="200">
        <f t="shared" si="41"/>
        <v>8.0721866886113478</v>
      </c>
      <c r="Q172" s="200">
        <f t="shared" si="42"/>
        <v>3.9278133113886522</v>
      </c>
      <c r="R172" s="200">
        <f t="shared" si="43"/>
        <v>20.072186688611346</v>
      </c>
      <c r="S172" s="204">
        <f t="shared" si="44"/>
        <v>0.24027777777777778</v>
      </c>
      <c r="T172" s="204">
        <f t="shared" si="45"/>
        <v>0.91319444444444453</v>
      </c>
      <c r="U172" s="205" t="str">
        <f t="shared" si="47"/>
        <v>E</v>
      </c>
      <c r="V172" s="272">
        <f t="shared" si="46"/>
        <v>2</v>
      </c>
      <c r="W172" s="207" t="str">
        <f>IF(Introduction!$E$7=1,CONCATENATE("🌞 ➚ ",TEXT(S172,"hh:mm")," ","➘ ",TEXT(T172,"hh:mm")),CONCATENATE("☼ ➚ ",TEXT(S172,"hh:mm")," ","➘ ",TEXT(T172,"hh:mm")))</f>
        <v>🌞 ➚ 05:46 ➘ 21:55</v>
      </c>
    </row>
    <row r="173" spans="6:23" x14ac:dyDescent="0.2">
      <c r="F173" s="198">
        <f t="shared" si="54"/>
        <v>44362</v>
      </c>
      <c r="G173" s="199">
        <f t="shared" si="48"/>
        <v>166</v>
      </c>
      <c r="H173" s="200">
        <f t="shared" si="38"/>
        <v>160.6096</v>
      </c>
      <c r="I173" s="200">
        <f t="shared" si="49"/>
        <v>0.62292705951453664</v>
      </c>
      <c r="J173" s="200">
        <f t="shared" si="39"/>
        <v>84.232527059514553</v>
      </c>
      <c r="K173" s="200">
        <f t="shared" si="50"/>
        <v>-0.51388335109463568</v>
      </c>
      <c r="L173" s="201">
        <f t="shared" si="51"/>
        <v>0.43617483367960386</v>
      </c>
      <c r="M173" s="202">
        <f t="shared" si="52"/>
        <v>1.8173951403316829E-2</v>
      </c>
      <c r="N173" s="203">
        <f t="shared" si="53"/>
        <v>23.31502285444466</v>
      </c>
      <c r="O173" s="200">
        <f t="shared" si="40"/>
        <v>121.15465919962919</v>
      </c>
      <c r="P173" s="200">
        <f t="shared" si="41"/>
        <v>8.0769772799752797</v>
      </c>
      <c r="Q173" s="200">
        <f t="shared" si="42"/>
        <v>3.9230227200247203</v>
      </c>
      <c r="R173" s="200">
        <f t="shared" si="43"/>
        <v>20.076977279975281</v>
      </c>
      <c r="S173" s="204">
        <f t="shared" si="44"/>
        <v>0.24027777777777778</v>
      </c>
      <c r="T173" s="204">
        <f t="shared" si="45"/>
        <v>0.91388888888888886</v>
      </c>
      <c r="U173" s="205" t="str">
        <f t="shared" si="47"/>
        <v>E</v>
      </c>
      <c r="V173" s="272">
        <f t="shared" si="46"/>
        <v>2</v>
      </c>
      <c r="W173" s="207" t="str">
        <f>IF(Introduction!$E$7=1,CONCATENATE("🌞 ➚ ",TEXT(S173,"hh:mm")," ","➘ ",TEXT(T173,"hh:mm")),CONCATENATE("☼ ➚ ",TEXT(S173,"hh:mm")," ","➘ ",TEXT(T173,"hh:mm")))</f>
        <v>🌞 ➚ 05:46 ➘ 21:56</v>
      </c>
    </row>
    <row r="174" spans="6:23" x14ac:dyDescent="0.2">
      <c r="F174" s="198">
        <f t="shared" si="54"/>
        <v>44363</v>
      </c>
      <c r="G174" s="199">
        <f t="shared" si="48"/>
        <v>167</v>
      </c>
      <c r="H174" s="200">
        <f t="shared" si="38"/>
        <v>161.59519999999998</v>
      </c>
      <c r="I174" s="200">
        <f t="shared" si="49"/>
        <v>0.59232124883433079</v>
      </c>
      <c r="J174" s="200">
        <f t="shared" si="39"/>
        <v>85.187521248834287</v>
      </c>
      <c r="K174" s="200">
        <f t="shared" si="50"/>
        <v>-0.42978434413069666</v>
      </c>
      <c r="L174" s="201">
        <f t="shared" si="51"/>
        <v>0.65014761881453653</v>
      </c>
      <c r="M174" s="202">
        <f t="shared" si="52"/>
        <v>2.7089484117272356E-2</v>
      </c>
      <c r="N174" s="203">
        <f t="shared" si="53"/>
        <v>23.353167355608299</v>
      </c>
      <c r="O174" s="200">
        <f t="shared" si="40"/>
        <v>121.21565209876645</v>
      </c>
      <c r="P174" s="200">
        <f t="shared" si="41"/>
        <v>8.0810434732510963</v>
      </c>
      <c r="Q174" s="200">
        <f t="shared" si="42"/>
        <v>3.9189565267489037</v>
      </c>
      <c r="R174" s="200">
        <f t="shared" si="43"/>
        <v>20.081043473251096</v>
      </c>
      <c r="S174" s="204">
        <f t="shared" si="44"/>
        <v>0.24027777777777778</v>
      </c>
      <c r="T174" s="204">
        <f t="shared" si="45"/>
        <v>0.91388888888888886</v>
      </c>
      <c r="U174" s="205" t="str">
        <f t="shared" si="47"/>
        <v>E</v>
      </c>
      <c r="V174" s="272">
        <f t="shared" si="46"/>
        <v>2</v>
      </c>
      <c r="W174" s="207" t="str">
        <f>IF(Introduction!$E$7=1,CONCATENATE("🌞 ➚ ",TEXT(S174,"hh:mm")," ","➘ ",TEXT(T174,"hh:mm")),CONCATENATE("☼ ➚ ",TEXT(S174,"hh:mm")," ","➘ ",TEXT(T174,"hh:mm")))</f>
        <v>🌞 ➚ 05:46 ➘ 21:56</v>
      </c>
    </row>
    <row r="175" spans="6:23" x14ac:dyDescent="0.2">
      <c r="F175" s="198">
        <f t="shared" si="54"/>
        <v>44364</v>
      </c>
      <c r="G175" s="199">
        <f t="shared" si="48"/>
        <v>168</v>
      </c>
      <c r="H175" s="200">
        <f t="shared" si="38"/>
        <v>162.58079999999995</v>
      </c>
      <c r="I175" s="200">
        <f t="shared" si="49"/>
        <v>0.56155080652342049</v>
      </c>
      <c r="J175" s="200">
        <f t="shared" si="39"/>
        <v>86.142350806523439</v>
      </c>
      <c r="K175" s="200">
        <f t="shared" si="50"/>
        <v>-0.34516418303133978</v>
      </c>
      <c r="L175" s="201">
        <f t="shared" si="51"/>
        <v>0.86554649396832284</v>
      </c>
      <c r="M175" s="202">
        <f t="shared" si="52"/>
        <v>3.6064437248680116E-2</v>
      </c>
      <c r="N175" s="203">
        <f t="shared" si="53"/>
        <v>23.384443645125344</v>
      </c>
      <c r="O175" s="200">
        <f t="shared" si="40"/>
        <v>121.26571884804044</v>
      </c>
      <c r="P175" s="200">
        <f t="shared" si="41"/>
        <v>8.0843812565360285</v>
      </c>
      <c r="Q175" s="200">
        <f t="shared" si="42"/>
        <v>3.9156187434639715</v>
      </c>
      <c r="R175" s="200">
        <f t="shared" si="43"/>
        <v>20.084381256536027</v>
      </c>
      <c r="S175" s="204">
        <f t="shared" si="44"/>
        <v>0.24027777777777778</v>
      </c>
      <c r="T175" s="204">
        <f t="shared" si="45"/>
        <v>0.9145833333333333</v>
      </c>
      <c r="U175" s="205" t="str">
        <f t="shared" si="47"/>
        <v>E</v>
      </c>
      <c r="V175" s="272">
        <f t="shared" si="46"/>
        <v>2</v>
      </c>
      <c r="W175" s="207" t="str">
        <f>IF(Introduction!$E$7=1,CONCATENATE("🌞 ➚ ",TEXT(S175,"hh:mm")," ","➘ ",TEXT(T175,"hh:mm")),CONCATENATE("☼ ➚ ",TEXT(S175,"hh:mm")," ","➘ ",TEXT(T175,"hh:mm")))</f>
        <v>🌞 ➚ 05:46 ➘ 21:57</v>
      </c>
    </row>
    <row r="176" spans="6:23" x14ac:dyDescent="0.2">
      <c r="F176" s="198">
        <f t="shared" si="54"/>
        <v>44365</v>
      </c>
      <c r="G176" s="199">
        <f t="shared" si="48"/>
        <v>169</v>
      </c>
      <c r="H176" s="200">
        <f t="shared" si="38"/>
        <v>163.56640000000004</v>
      </c>
      <c r="I176" s="200">
        <f t="shared" si="49"/>
        <v>0.53062434238382428</v>
      </c>
      <c r="J176" s="200">
        <f t="shared" si="39"/>
        <v>87.097024342383861</v>
      </c>
      <c r="K176" s="200">
        <f t="shared" si="50"/>
        <v>-0.26012757470198777</v>
      </c>
      <c r="L176" s="201">
        <f t="shared" si="51"/>
        <v>1.081987070727346</v>
      </c>
      <c r="M176" s="202">
        <f t="shared" si="52"/>
        <v>4.5082794613639419E-2</v>
      </c>
      <c r="N176" s="203">
        <f t="shared" si="53"/>
        <v>23.408841929359717</v>
      </c>
      <c r="O176" s="200">
        <f t="shared" si="40"/>
        <v>121.30481056745047</v>
      </c>
      <c r="P176" s="200">
        <f t="shared" si="41"/>
        <v>8.0869873711633655</v>
      </c>
      <c r="Q176" s="200">
        <f t="shared" si="42"/>
        <v>3.9130126288366345</v>
      </c>
      <c r="R176" s="200">
        <f t="shared" si="43"/>
        <v>20.086987371163367</v>
      </c>
      <c r="S176" s="204">
        <f t="shared" si="44"/>
        <v>0.24027777777777778</v>
      </c>
      <c r="T176" s="204">
        <f t="shared" si="45"/>
        <v>0.9145833333333333</v>
      </c>
      <c r="U176" s="205" t="str">
        <f t="shared" si="47"/>
        <v>E</v>
      </c>
      <c r="V176" s="272">
        <f t="shared" si="46"/>
        <v>2</v>
      </c>
      <c r="W176" s="207" t="str">
        <f>IF(Introduction!$E$7=1,CONCATENATE("🌞 ➚ ",TEXT(S176,"hh:mm")," ","➘ ",TEXT(T176,"hh:mm")),CONCATENATE("☼ ➚ ",TEXT(S176,"hh:mm")," ","➘ ",TEXT(T176,"hh:mm")))</f>
        <v>🌞 ➚ 05:46 ➘ 21:57</v>
      </c>
    </row>
    <row r="177" spans="6:23" x14ac:dyDescent="0.2">
      <c r="F177" s="198">
        <f t="shared" si="54"/>
        <v>44366</v>
      </c>
      <c r="G177" s="199">
        <f t="shared" si="48"/>
        <v>170</v>
      </c>
      <c r="H177" s="200">
        <f t="shared" si="38"/>
        <v>164.55200000000002</v>
      </c>
      <c r="I177" s="200">
        <f t="shared" si="49"/>
        <v>0.49955050038219923</v>
      </c>
      <c r="J177" s="200">
        <f t="shared" si="39"/>
        <v>88.051550500382177</v>
      </c>
      <c r="K177" s="200">
        <f t="shared" si="50"/>
        <v>-0.17477979046659847</v>
      </c>
      <c r="L177" s="201">
        <f t="shared" si="51"/>
        <v>1.299082839662403</v>
      </c>
      <c r="M177" s="202">
        <f t="shared" si="52"/>
        <v>5.4128451652600128E-2</v>
      </c>
      <c r="N177" s="203">
        <f t="shared" si="53"/>
        <v>23.426355138017954</v>
      </c>
      <c r="O177" s="200">
        <f t="shared" si="40"/>
        <v>121.33288986953303</v>
      </c>
      <c r="P177" s="200">
        <f t="shared" si="41"/>
        <v>8.0888593246355356</v>
      </c>
      <c r="Q177" s="200">
        <f t="shared" si="42"/>
        <v>3.9111406753644644</v>
      </c>
      <c r="R177" s="200">
        <f t="shared" si="43"/>
        <v>20.088859324635536</v>
      </c>
      <c r="S177" s="204">
        <f t="shared" si="44"/>
        <v>0.24097222222222223</v>
      </c>
      <c r="T177" s="204">
        <f t="shared" si="45"/>
        <v>0.9145833333333333</v>
      </c>
      <c r="U177" s="205" t="str">
        <f t="shared" si="47"/>
        <v>E</v>
      </c>
      <c r="V177" s="272">
        <f t="shared" si="46"/>
        <v>2</v>
      </c>
      <c r="W177" s="207" t="str">
        <f>IF(Introduction!$E$7=1,CONCATENATE("🌞 ➚ ",TEXT(S177,"hh:mm")," ","➘ ",TEXT(T177,"hh:mm")),CONCATENATE("☼ ➚ ",TEXT(S177,"hh:mm")," ","➘ ",TEXT(T177,"hh:mm")))</f>
        <v>🌞 ➚ 05:47 ➘ 21:57</v>
      </c>
    </row>
    <row r="178" spans="6:23" x14ac:dyDescent="0.2">
      <c r="F178" s="198">
        <f t="shared" si="54"/>
        <v>44367</v>
      </c>
      <c r="G178" s="199">
        <f t="shared" si="48"/>
        <v>171</v>
      </c>
      <c r="H178" s="200">
        <f t="shared" si="38"/>
        <v>165.5376</v>
      </c>
      <c r="I178" s="200">
        <f t="shared" si="49"/>
        <v>0.46833795669232087</v>
      </c>
      <c r="J178" s="200">
        <f t="shared" si="39"/>
        <v>89.005937956692321</v>
      </c>
      <c r="K178" s="200">
        <f t="shared" si="50"/>
        <v>-8.922650651744933E-2</v>
      </c>
      <c r="L178" s="201">
        <f t="shared" si="51"/>
        <v>1.5164458006994861</v>
      </c>
      <c r="M178" s="202">
        <f t="shared" si="52"/>
        <v>6.3185241695811925E-2</v>
      </c>
      <c r="N178" s="203">
        <f t="shared" si="53"/>
        <v>23.436978932680748</v>
      </c>
      <c r="O178" s="200">
        <f t="shared" si="40"/>
        <v>121.34993100857474</v>
      </c>
      <c r="P178" s="200">
        <f t="shared" si="41"/>
        <v>8.0899954005716488</v>
      </c>
      <c r="Q178" s="200">
        <f t="shared" si="42"/>
        <v>3.9100045994283512</v>
      </c>
      <c r="R178" s="200">
        <f t="shared" si="43"/>
        <v>20.089995400571649</v>
      </c>
      <c r="S178" s="204">
        <f t="shared" si="44"/>
        <v>0.24097222222222223</v>
      </c>
      <c r="T178" s="204">
        <f t="shared" si="45"/>
        <v>0.91527777777777775</v>
      </c>
      <c r="U178" s="205" t="str">
        <f t="shared" si="47"/>
        <v>E</v>
      </c>
      <c r="V178" s="272">
        <f t="shared" si="46"/>
        <v>2</v>
      </c>
      <c r="W178" s="207" t="str">
        <f>IF(Introduction!$E$7=1,CONCATENATE("🌞 ➚ ",TEXT(S178,"hh:mm")," ","➘ ",TEXT(T178,"hh:mm")),CONCATENATE("☼ ➚ ",TEXT(S178,"hh:mm")," ","➘ ",TEXT(T178,"hh:mm")))</f>
        <v>🌞 ➚ 05:47 ➘ 21:58</v>
      </c>
    </row>
    <row r="179" spans="6:23" x14ac:dyDescent="0.2">
      <c r="F179" s="198">
        <f t="shared" si="54"/>
        <v>44368</v>
      </c>
      <c r="G179" s="199">
        <f t="shared" si="48"/>
        <v>172</v>
      </c>
      <c r="H179" s="200">
        <f t="shared" si="38"/>
        <v>166.52319999999997</v>
      </c>
      <c r="I179" s="200">
        <f t="shared" si="49"/>
        <v>0.43699541774157485</v>
      </c>
      <c r="J179" s="200">
        <f t="shared" si="39"/>
        <v>89.960195417741602</v>
      </c>
      <c r="K179" s="200">
        <f t="shared" si="50"/>
        <v>-3.5736436234956844E-3</v>
      </c>
      <c r="L179" s="201">
        <f t="shared" si="51"/>
        <v>1.7336870964723168</v>
      </c>
      <c r="M179" s="202">
        <f t="shared" si="52"/>
        <v>7.2236962353013204E-2</v>
      </c>
      <c r="N179" s="203">
        <f t="shared" si="53"/>
        <v>23.440711711633206</v>
      </c>
      <c r="O179" s="200">
        <f t="shared" si="40"/>
        <v>121.35591998378803</v>
      </c>
      <c r="P179" s="200">
        <f t="shared" si="41"/>
        <v>8.0903946655858689</v>
      </c>
      <c r="Q179" s="200">
        <f t="shared" si="42"/>
        <v>3.9096053344141311</v>
      </c>
      <c r="R179" s="200">
        <f t="shared" si="43"/>
        <v>20.090394665585869</v>
      </c>
      <c r="S179" s="204">
        <f t="shared" si="44"/>
        <v>0.24097222222222223</v>
      </c>
      <c r="T179" s="204">
        <f t="shared" si="45"/>
        <v>0.91527777777777775</v>
      </c>
      <c r="U179" s="205" t="str">
        <f t="shared" si="47"/>
        <v>E</v>
      </c>
      <c r="V179" s="272">
        <f t="shared" si="46"/>
        <v>2</v>
      </c>
      <c r="W179" s="207" t="str">
        <f>IF(Introduction!$E$7=1,CONCATENATE("🌞 ➚ ",TEXT(S179,"hh:mm")," ","➘ ",TEXT(T179,"hh:mm")),CONCATENATE("☼ ➚ ",TEXT(S179,"hh:mm")," ","➘ ",TEXT(T179,"hh:mm")))</f>
        <v>🌞 ➚ 05:47 ➘ 21:58</v>
      </c>
    </row>
    <row r="180" spans="6:23" x14ac:dyDescent="0.2">
      <c r="F180" s="198">
        <f t="shared" si="54"/>
        <v>44369</v>
      </c>
      <c r="G180" s="199">
        <f t="shared" si="48"/>
        <v>173</v>
      </c>
      <c r="H180" s="200">
        <f t="shared" si="38"/>
        <v>167.50880000000006</v>
      </c>
      <c r="I180" s="200">
        <f t="shared" si="49"/>
        <v>0.40553161826122952</v>
      </c>
      <c r="J180" s="200">
        <f t="shared" si="39"/>
        <v>90.914331618261258</v>
      </c>
      <c r="K180" s="200">
        <f t="shared" si="50"/>
        <v>8.2072793540869854E-2</v>
      </c>
      <c r="L180" s="201">
        <f t="shared" si="51"/>
        <v>1.9504176472083974</v>
      </c>
      <c r="M180" s="202">
        <f t="shared" si="52"/>
        <v>8.1267401967016553E-2</v>
      </c>
      <c r="N180" s="203">
        <f t="shared" si="53"/>
        <v>23.437554610969496</v>
      </c>
      <c r="O180" s="200">
        <f t="shared" si="40"/>
        <v>121.35085459557708</v>
      </c>
      <c r="P180" s="200">
        <f t="shared" si="41"/>
        <v>8.0900569730384717</v>
      </c>
      <c r="Q180" s="200">
        <f t="shared" si="42"/>
        <v>3.9099430269615283</v>
      </c>
      <c r="R180" s="200">
        <f t="shared" si="43"/>
        <v>20.090056973038472</v>
      </c>
      <c r="S180" s="204">
        <f t="shared" si="44"/>
        <v>0.24097222222222223</v>
      </c>
      <c r="T180" s="204">
        <f t="shared" si="45"/>
        <v>0.91527777777777775</v>
      </c>
      <c r="U180" s="205" t="str">
        <f t="shared" si="47"/>
        <v>E</v>
      </c>
      <c r="V180" s="272">
        <f t="shared" si="46"/>
        <v>2</v>
      </c>
      <c r="W180" s="207" t="str">
        <f>IF(Introduction!$E$7=1,CONCATENATE("🌞 ➚ ",TEXT(S180,"hh:mm")," ","➘ ",TEXT(T180,"hh:mm")),CONCATENATE("☼ ➚ ",TEXT(S180,"hh:mm")," ","➘ ",TEXT(T180,"hh:mm")))</f>
        <v>🌞 ➚ 05:47 ➘ 21:58</v>
      </c>
    </row>
    <row r="181" spans="6:23" x14ac:dyDescent="0.2">
      <c r="F181" s="198">
        <f t="shared" si="54"/>
        <v>44370</v>
      </c>
      <c r="G181" s="199">
        <f t="shared" si="48"/>
        <v>174</v>
      </c>
      <c r="H181" s="200">
        <f t="shared" si="38"/>
        <v>168.49440000000004</v>
      </c>
      <c r="I181" s="200">
        <f t="shared" si="49"/>
        <v>0.37395531934039378</v>
      </c>
      <c r="J181" s="200">
        <f t="shared" si="39"/>
        <v>91.868355319340367</v>
      </c>
      <c r="K181" s="200">
        <f t="shared" si="50"/>
        <v>0.16760687708399494</v>
      </c>
      <c r="L181" s="201">
        <f t="shared" si="51"/>
        <v>2.166248785697555</v>
      </c>
      <c r="M181" s="202">
        <f t="shared" si="52"/>
        <v>9.0260366070731457E-2</v>
      </c>
      <c r="N181" s="203">
        <f t="shared" si="53"/>
        <v>23.427511501962435</v>
      </c>
      <c r="O181" s="200">
        <f t="shared" si="40"/>
        <v>121.33474445441546</v>
      </c>
      <c r="P181" s="200">
        <f t="shared" si="41"/>
        <v>8.0889829636276964</v>
      </c>
      <c r="Q181" s="200">
        <f t="shared" si="42"/>
        <v>3.9110170363723036</v>
      </c>
      <c r="R181" s="200">
        <f t="shared" si="43"/>
        <v>20.088982963627696</v>
      </c>
      <c r="S181" s="204">
        <f t="shared" si="44"/>
        <v>0.24097222222222223</v>
      </c>
      <c r="T181" s="204">
        <f t="shared" si="45"/>
        <v>0.91527777777777775</v>
      </c>
      <c r="U181" s="205" t="str">
        <f t="shared" si="47"/>
        <v>E</v>
      </c>
      <c r="V181" s="272">
        <f t="shared" si="46"/>
        <v>2</v>
      </c>
      <c r="W181" s="207" t="str">
        <f>IF(Introduction!$E$7=1,CONCATENATE("🌞 ➚ ",TEXT(S181,"hh:mm")," ","➘ ",TEXT(T181,"hh:mm")),CONCATENATE("☼ ➚ ",TEXT(S181,"hh:mm")," ","➘ ",TEXT(T181,"hh:mm")))</f>
        <v>🌞 ➚ 05:47 ➘ 21:58</v>
      </c>
    </row>
    <row r="182" spans="6:23" x14ac:dyDescent="0.2">
      <c r="F182" s="198">
        <f t="shared" si="54"/>
        <v>44371</v>
      </c>
      <c r="G182" s="199">
        <f t="shared" si="48"/>
        <v>175</v>
      </c>
      <c r="H182" s="200">
        <f t="shared" si="38"/>
        <v>169.48000000000002</v>
      </c>
      <c r="I182" s="200">
        <f t="shared" si="49"/>
        <v>0.34227530648340176</v>
      </c>
      <c r="J182" s="200">
        <f t="shared" si="39"/>
        <v>92.822275306483448</v>
      </c>
      <c r="K182" s="200">
        <f t="shared" si="50"/>
        <v>0.2529229162400588</v>
      </c>
      <c r="L182" s="201">
        <f t="shared" si="51"/>
        <v>2.3807928908938423</v>
      </c>
      <c r="M182" s="202">
        <f t="shared" si="52"/>
        <v>9.9199703787243423E-2</v>
      </c>
      <c r="N182" s="203">
        <f t="shared" si="53"/>
        <v>23.410588984703352</v>
      </c>
      <c r="O182" s="200">
        <f t="shared" si="40"/>
        <v>121.30761094225768</v>
      </c>
      <c r="P182" s="200">
        <f t="shared" si="41"/>
        <v>8.0871740628171782</v>
      </c>
      <c r="Q182" s="200">
        <f t="shared" si="42"/>
        <v>3.9128259371828218</v>
      </c>
      <c r="R182" s="200">
        <f t="shared" si="43"/>
        <v>20.087174062817176</v>
      </c>
      <c r="S182" s="204">
        <f t="shared" si="44"/>
        <v>0.24166666666666667</v>
      </c>
      <c r="T182" s="204">
        <f t="shared" si="45"/>
        <v>0.91527777777777775</v>
      </c>
      <c r="U182" s="205" t="str">
        <f t="shared" si="47"/>
        <v>E</v>
      </c>
      <c r="V182" s="272">
        <f t="shared" si="46"/>
        <v>2</v>
      </c>
      <c r="W182" s="207" t="str">
        <f>IF(Introduction!$E$7=1,CONCATENATE("🌞 ➚ ",TEXT(S182,"hh:mm")," ","➘ ",TEXT(T182,"hh:mm")),CONCATENATE("☼ ➚ ",TEXT(S182,"hh:mm")," ","➘ ",TEXT(T182,"hh:mm")))</f>
        <v>🌞 ➚ 05:48 ➘ 21:58</v>
      </c>
    </row>
    <row r="183" spans="6:23" x14ac:dyDescent="0.2">
      <c r="F183" s="198">
        <f t="shared" si="54"/>
        <v>44372</v>
      </c>
      <c r="G183" s="199">
        <f t="shared" si="48"/>
        <v>176</v>
      </c>
      <c r="H183" s="200">
        <f t="shared" si="38"/>
        <v>170.46559999999999</v>
      </c>
      <c r="I183" s="200">
        <f t="shared" si="49"/>
        <v>0.31050038767051574</v>
      </c>
      <c r="J183" s="200">
        <f t="shared" si="39"/>
        <v>93.77610038767051</v>
      </c>
      <c r="K183" s="200">
        <f t="shared" si="50"/>
        <v>0.33791561700652939</v>
      </c>
      <c r="L183" s="201">
        <f t="shared" si="51"/>
        <v>2.5936640187081803</v>
      </c>
      <c r="M183" s="202">
        <f t="shared" si="52"/>
        <v>0.10806933411284085</v>
      </c>
      <c r="N183" s="203">
        <f t="shared" si="53"/>
        <v>23.38679637803245</v>
      </c>
      <c r="O183" s="200">
        <f t="shared" si="40"/>
        <v>121.26948712680958</v>
      </c>
      <c r="P183" s="200">
        <f t="shared" si="41"/>
        <v>8.0846324751206389</v>
      </c>
      <c r="Q183" s="200">
        <f t="shared" si="42"/>
        <v>3.9153675248793611</v>
      </c>
      <c r="R183" s="200">
        <f t="shared" si="43"/>
        <v>20.084632475120639</v>
      </c>
      <c r="S183" s="204">
        <f t="shared" si="44"/>
        <v>0.24166666666666667</v>
      </c>
      <c r="T183" s="204">
        <f t="shared" si="45"/>
        <v>0.91527777777777775</v>
      </c>
      <c r="U183" s="205" t="str">
        <f t="shared" si="47"/>
        <v>E</v>
      </c>
      <c r="V183" s="272">
        <f t="shared" si="46"/>
        <v>2</v>
      </c>
      <c r="W183" s="207" t="str">
        <f>IF(Introduction!$E$7=1,CONCATENATE("🌞 ➚ ",TEXT(S183,"hh:mm")," ","➘ ",TEXT(T183,"hh:mm")),CONCATENATE("☼ ➚ ",TEXT(S183,"hh:mm")," ","➘ ",TEXT(T183,"hh:mm")))</f>
        <v>🌞 ➚ 05:48 ➘ 21:58</v>
      </c>
    </row>
    <row r="184" spans="6:23" x14ac:dyDescent="0.2">
      <c r="F184" s="198">
        <f t="shared" si="54"/>
        <v>44373</v>
      </c>
      <c r="G184" s="199">
        <f t="shared" si="48"/>
        <v>177</v>
      </c>
      <c r="H184" s="200">
        <f t="shared" si="38"/>
        <v>171.45119999999997</v>
      </c>
      <c r="I184" s="200">
        <f t="shared" si="49"/>
        <v>0.27863939142167837</v>
      </c>
      <c r="J184" s="200">
        <f t="shared" si="39"/>
        <v>94.729839391421706</v>
      </c>
      <c r="K184" s="200">
        <f t="shared" si="50"/>
        <v>0.42248024071854395</v>
      </c>
      <c r="L184" s="201">
        <f t="shared" si="51"/>
        <v>2.8044785285608893</v>
      </c>
      <c r="M184" s="202">
        <f t="shared" si="52"/>
        <v>0.11685327202337038</v>
      </c>
      <c r="N184" s="203">
        <f t="shared" si="53"/>
        <v>23.356145705794784</v>
      </c>
      <c r="O184" s="200">
        <f t="shared" si="40"/>
        <v>121.22041762938004</v>
      </c>
      <c r="P184" s="200">
        <f t="shared" si="41"/>
        <v>8.0813611752920025</v>
      </c>
      <c r="Q184" s="200">
        <f t="shared" si="42"/>
        <v>3.9186388247079975</v>
      </c>
      <c r="R184" s="200">
        <f t="shared" si="43"/>
        <v>20.081361175292002</v>
      </c>
      <c r="S184" s="204">
        <f t="shared" si="44"/>
        <v>0.24236111111111111</v>
      </c>
      <c r="T184" s="204">
        <f t="shared" si="45"/>
        <v>0.91527777777777775</v>
      </c>
      <c r="U184" s="205" t="str">
        <f t="shared" si="47"/>
        <v>E</v>
      </c>
      <c r="V184" s="272">
        <f t="shared" si="46"/>
        <v>2</v>
      </c>
      <c r="W184" s="207" t="str">
        <f>IF(Introduction!$E$7=1,CONCATENATE("🌞 ➚ ",TEXT(S184,"hh:mm")," ","➘ ",TEXT(T184,"hh:mm")),CONCATENATE("☼ ➚ ",TEXT(S184,"hh:mm")," ","➘ ",TEXT(T184,"hh:mm")))</f>
        <v>🌞 ➚ 05:49 ➘ 21:58</v>
      </c>
    </row>
    <row r="185" spans="6:23" x14ac:dyDescent="0.2">
      <c r="F185" s="198">
        <f t="shared" si="54"/>
        <v>44374</v>
      </c>
      <c r="G185" s="199">
        <f t="shared" si="48"/>
        <v>178</v>
      </c>
      <c r="H185" s="200">
        <f t="shared" si="38"/>
        <v>172.43679999999995</v>
      </c>
      <c r="I185" s="200">
        <f t="shared" si="49"/>
        <v>0.24670116486312146</v>
      </c>
      <c r="J185" s="200">
        <f t="shared" si="39"/>
        <v>95.683501164863117</v>
      </c>
      <c r="K185" s="200">
        <f t="shared" si="50"/>
        <v>0.50651276120611044</v>
      </c>
      <c r="L185" s="201">
        <f t="shared" si="51"/>
        <v>3.0128557042769275</v>
      </c>
      <c r="M185" s="202">
        <f t="shared" si="52"/>
        <v>0.12553565434487199</v>
      </c>
      <c r="N185" s="203">
        <f t="shared" si="53"/>
        <v>23.318651679471316</v>
      </c>
      <c r="O185" s="200">
        <f t="shared" si="40"/>
        <v>121.16045844742276</v>
      </c>
      <c r="P185" s="200">
        <f t="shared" si="41"/>
        <v>8.07736389649485</v>
      </c>
      <c r="Q185" s="200">
        <f t="shared" si="42"/>
        <v>3.92263610350515</v>
      </c>
      <c r="R185" s="200">
        <f t="shared" si="43"/>
        <v>20.077363896494852</v>
      </c>
      <c r="S185" s="204">
        <f t="shared" si="44"/>
        <v>0.24236111111111111</v>
      </c>
      <c r="T185" s="204">
        <f t="shared" si="45"/>
        <v>0.91527777777777775</v>
      </c>
      <c r="U185" s="205" t="str">
        <f t="shared" si="47"/>
        <v>E</v>
      </c>
      <c r="V185" s="272">
        <f t="shared" si="46"/>
        <v>2</v>
      </c>
      <c r="W185" s="207" t="str">
        <f>IF(Introduction!$E$7=1,CONCATENATE("🌞 ➚ ",TEXT(S185,"hh:mm")," ","➘ ",TEXT(T185,"hh:mm")),CONCATENATE("☼ ➚ ",TEXT(S185,"hh:mm")," ","➘ ",TEXT(T185,"hh:mm")))</f>
        <v>🌞 ➚ 05:49 ➘ 21:58</v>
      </c>
    </row>
    <row r="186" spans="6:23" x14ac:dyDescent="0.2">
      <c r="F186" s="198">
        <f t="shared" si="54"/>
        <v>44375</v>
      </c>
      <c r="G186" s="199">
        <f t="shared" si="48"/>
        <v>179</v>
      </c>
      <c r="H186" s="200">
        <f t="shared" si="38"/>
        <v>173.42240000000004</v>
      </c>
      <c r="I186" s="200">
        <f t="shared" si="49"/>
        <v>0.21469457179658163</v>
      </c>
      <c r="J186" s="200">
        <f t="shared" si="39"/>
        <v>96.637094571796638</v>
      </c>
      <c r="K186" s="200">
        <f t="shared" si="50"/>
        <v>0.58991002018561933</v>
      </c>
      <c r="L186" s="201">
        <f t="shared" si="51"/>
        <v>3.2184183679288036</v>
      </c>
      <c r="M186" s="202">
        <f t="shared" si="52"/>
        <v>0.13410076533036683</v>
      </c>
      <c r="N186" s="203">
        <f t="shared" si="53"/>
        <v>23.274331677248604</v>
      </c>
      <c r="O186" s="200">
        <f t="shared" si="40"/>
        <v>121.08967673324851</v>
      </c>
      <c r="P186" s="200">
        <f t="shared" si="41"/>
        <v>8.0726451155498999</v>
      </c>
      <c r="Q186" s="200">
        <f t="shared" si="42"/>
        <v>3.9273548844501001</v>
      </c>
      <c r="R186" s="200">
        <f t="shared" si="43"/>
        <v>20.0726451155499</v>
      </c>
      <c r="S186" s="204">
        <f t="shared" si="44"/>
        <v>0.24236111111111111</v>
      </c>
      <c r="T186" s="204">
        <f t="shared" si="45"/>
        <v>0.91527777777777775</v>
      </c>
      <c r="U186" s="205" t="str">
        <f t="shared" si="47"/>
        <v>E</v>
      </c>
      <c r="V186" s="272">
        <f t="shared" si="46"/>
        <v>2</v>
      </c>
      <c r="W186" s="207" t="str">
        <f>IF(Introduction!$E$7=1,CONCATENATE("🌞 ➚ ",TEXT(S186,"hh:mm")," ","➘ ",TEXT(T186,"hh:mm")),CONCATENATE("☼ ➚ ",TEXT(S186,"hh:mm")," ","➘ ",TEXT(T186,"hh:mm")))</f>
        <v>🌞 ➚ 05:49 ➘ 21:58</v>
      </c>
    </row>
    <row r="187" spans="6:23" x14ac:dyDescent="0.2">
      <c r="F187" s="198">
        <f t="shared" si="54"/>
        <v>44376</v>
      </c>
      <c r="G187" s="199">
        <f t="shared" si="48"/>
        <v>180</v>
      </c>
      <c r="H187" s="200">
        <f t="shared" si="38"/>
        <v>174.40800000000002</v>
      </c>
      <c r="I187" s="200">
        <f t="shared" si="49"/>
        <v>0.18262849077092058</v>
      </c>
      <c r="J187" s="200">
        <f t="shared" si="39"/>
        <v>97.590628490770939</v>
      </c>
      <c r="K187" s="200">
        <f t="shared" si="50"/>
        <v>0.67256988054267952</v>
      </c>
      <c r="L187" s="201">
        <f t="shared" si="51"/>
        <v>3.4207934852544004</v>
      </c>
      <c r="M187" s="202">
        <f t="shared" si="52"/>
        <v>0.14253306188560003</v>
      </c>
      <c r="N187" s="203">
        <f t="shared" si="53"/>
        <v>23.223205719604849</v>
      </c>
      <c r="O187" s="200">
        <f t="shared" si="40"/>
        <v>121.0081505307372</v>
      </c>
      <c r="P187" s="200">
        <f t="shared" si="41"/>
        <v>8.0672100353824803</v>
      </c>
      <c r="Q187" s="200">
        <f t="shared" si="42"/>
        <v>3.9327899646175197</v>
      </c>
      <c r="R187" s="200">
        <f t="shared" si="43"/>
        <v>20.06721003538248</v>
      </c>
      <c r="S187" s="204">
        <f t="shared" si="44"/>
        <v>0.24305555555555555</v>
      </c>
      <c r="T187" s="204">
        <f t="shared" si="45"/>
        <v>0.91527777777777775</v>
      </c>
      <c r="U187" s="205" t="str">
        <f t="shared" si="47"/>
        <v>E</v>
      </c>
      <c r="V187" s="272">
        <f t="shared" si="46"/>
        <v>2</v>
      </c>
      <c r="W187" s="207" t="str">
        <f>IF(Introduction!$E$7=1,CONCATENATE("🌞 ➚ ",TEXT(S187,"hh:mm")," ","➘ ",TEXT(T187,"hh:mm")),CONCATENATE("☼ ➚ ",TEXT(S187,"hh:mm")," ","➘ ",TEXT(T187,"hh:mm")))</f>
        <v>🌞 ➚ 05:50 ➘ 21:58</v>
      </c>
    </row>
    <row r="188" spans="6:23" x14ac:dyDescent="0.2">
      <c r="F188" s="198">
        <f t="shared" si="54"/>
        <v>44377</v>
      </c>
      <c r="G188" s="199">
        <f t="shared" si="48"/>
        <v>181</v>
      </c>
      <c r="H188" s="200">
        <f t="shared" si="38"/>
        <v>175.39359999999999</v>
      </c>
      <c r="I188" s="200">
        <f t="shared" si="49"/>
        <v>0.15051181315582479</v>
      </c>
      <c r="J188" s="200">
        <f t="shared" si="39"/>
        <v>98.544111813155837</v>
      </c>
      <c r="K188" s="200">
        <f t="shared" si="50"/>
        <v>0.75439137717088733</v>
      </c>
      <c r="L188" s="201">
        <f t="shared" si="51"/>
        <v>3.6196127613068487</v>
      </c>
      <c r="M188" s="202">
        <f t="shared" si="52"/>
        <v>0.15081719838778537</v>
      </c>
      <c r="N188" s="203">
        <f t="shared" si="53"/>
        <v>23.165296441502683</v>
      </c>
      <c r="O188" s="200">
        <f t="shared" si="40"/>
        <v>120.91596847220148</v>
      </c>
      <c r="P188" s="200">
        <f t="shared" si="41"/>
        <v>8.0610645648134316</v>
      </c>
      <c r="Q188" s="200">
        <f t="shared" si="42"/>
        <v>3.9389354351865684</v>
      </c>
      <c r="R188" s="200">
        <f t="shared" si="43"/>
        <v>20.061064564813432</v>
      </c>
      <c r="S188" s="204">
        <f t="shared" si="44"/>
        <v>0.24374999999999999</v>
      </c>
      <c r="T188" s="204">
        <f t="shared" si="45"/>
        <v>0.91527777777777775</v>
      </c>
      <c r="U188" s="205" t="str">
        <f t="shared" si="47"/>
        <v>E</v>
      </c>
      <c r="V188" s="272">
        <f t="shared" si="46"/>
        <v>2</v>
      </c>
      <c r="W188" s="207" t="str">
        <f>IF(Introduction!$E$7=1,CONCATENATE("🌞 ➚ ",TEXT(S188,"hh:mm")," ","➘ ",TEXT(T188,"hh:mm")),CONCATENATE("☼ ➚ ",TEXT(S188,"hh:mm")," ","➘ ",TEXT(T188,"hh:mm")))</f>
        <v>🌞 ➚ 05:51 ➘ 21:58</v>
      </c>
    </row>
    <row r="189" spans="6:23" x14ac:dyDescent="0.2">
      <c r="F189" s="198">
        <f t="shared" si="54"/>
        <v>44378</v>
      </c>
      <c r="G189" s="199">
        <f t="shared" si="48"/>
        <v>182</v>
      </c>
      <c r="H189" s="200">
        <f t="shared" si="38"/>
        <v>176.37919999999997</v>
      </c>
      <c r="I189" s="200">
        <f t="shared" si="49"/>
        <v>0.11835344121741306</v>
      </c>
      <c r="J189" s="200">
        <f t="shared" si="39"/>
        <v>99.497553441217406</v>
      </c>
      <c r="K189" s="200">
        <f t="shared" si="50"/>
        <v>0.83527486503884862</v>
      </c>
      <c r="L189" s="201">
        <f t="shared" si="51"/>
        <v>3.8145132250250469</v>
      </c>
      <c r="M189" s="202">
        <f t="shared" si="52"/>
        <v>0.15893805104271028</v>
      </c>
      <c r="N189" s="203">
        <f t="shared" si="53"/>
        <v>23.100629061292278</v>
      </c>
      <c r="O189" s="200">
        <f t="shared" si="40"/>
        <v>120.81322943784772</v>
      </c>
      <c r="P189" s="200">
        <f t="shared" si="41"/>
        <v>8.0542152958565154</v>
      </c>
      <c r="Q189" s="200">
        <f t="shared" si="42"/>
        <v>3.9457847041434846</v>
      </c>
      <c r="R189" s="200">
        <f t="shared" si="43"/>
        <v>20.054215295856515</v>
      </c>
      <c r="S189" s="204">
        <f t="shared" si="44"/>
        <v>0.24374999999999999</v>
      </c>
      <c r="T189" s="204">
        <f t="shared" si="45"/>
        <v>0.91527777777777775</v>
      </c>
      <c r="U189" s="205" t="str">
        <f t="shared" si="47"/>
        <v>E</v>
      </c>
      <c r="V189" s="272">
        <f t="shared" si="46"/>
        <v>2</v>
      </c>
      <c r="W189" s="207" t="str">
        <f>IF(Introduction!$E$7=1,CONCATENATE("🌞 ➚ ",TEXT(S189,"hh:mm")," ","➘ ",TEXT(T189,"hh:mm")),CONCATENATE("☼ ➚ ",TEXT(S189,"hh:mm")," ","➘ ",TEXT(T189,"hh:mm")))</f>
        <v>🌞 ➚ 05:51 ➘ 21:58</v>
      </c>
    </row>
    <row r="190" spans="6:23" x14ac:dyDescent="0.2">
      <c r="F190" s="198">
        <f t="shared" si="54"/>
        <v>44379</v>
      </c>
      <c r="G190" s="199">
        <f t="shared" si="48"/>
        <v>183</v>
      </c>
      <c r="H190" s="200">
        <f t="shared" si="38"/>
        <v>177.36480000000006</v>
      </c>
      <c r="I190" s="200">
        <f t="shared" si="49"/>
        <v>8.6162286195418103E-2</v>
      </c>
      <c r="J190" s="200">
        <f t="shared" si="39"/>
        <v>100.45096228619542</v>
      </c>
      <c r="K190" s="200">
        <f t="shared" si="50"/>
        <v>0.91512216416731684</v>
      </c>
      <c r="L190" s="201">
        <f t="shared" si="51"/>
        <v>4.0051378014509398</v>
      </c>
      <c r="M190" s="202">
        <f t="shared" si="52"/>
        <v>0.1668807417271225</v>
      </c>
      <c r="N190" s="203">
        <f t="shared" si="53"/>
        <v>23.029231346439914</v>
      </c>
      <c r="O190" s="200">
        <f t="shared" si="40"/>
        <v>120.70004218053786</v>
      </c>
      <c r="P190" s="200">
        <f t="shared" si="41"/>
        <v>8.0466694787025244</v>
      </c>
      <c r="Q190" s="200">
        <f t="shared" si="42"/>
        <v>3.9533305212974756</v>
      </c>
      <c r="R190" s="200">
        <f t="shared" si="43"/>
        <v>20.046669478702526</v>
      </c>
      <c r="S190" s="204">
        <f t="shared" si="44"/>
        <v>0.24444444444444446</v>
      </c>
      <c r="T190" s="204">
        <f t="shared" si="45"/>
        <v>0.9145833333333333</v>
      </c>
      <c r="U190" s="205" t="str">
        <f t="shared" si="47"/>
        <v>E</v>
      </c>
      <c r="V190" s="272">
        <f t="shared" si="46"/>
        <v>2</v>
      </c>
      <c r="W190" s="207" t="str">
        <f>IF(Introduction!$E$7=1,CONCATENATE("🌞 ➚ ",TEXT(S190,"hh:mm")," ","➘ ",TEXT(T190,"hh:mm")),CONCATENATE("☼ ➚ ",TEXT(S190,"hh:mm")," ","➘ ",TEXT(T190,"hh:mm")))</f>
        <v>🌞 ➚ 05:52 ➘ 21:57</v>
      </c>
    </row>
    <row r="191" spans="6:23" x14ac:dyDescent="0.2">
      <c r="F191" s="198">
        <f t="shared" si="54"/>
        <v>44380</v>
      </c>
      <c r="G191" s="199">
        <f t="shared" si="48"/>
        <v>184</v>
      </c>
      <c r="H191" s="200">
        <f t="shared" si="38"/>
        <v>178.35040000000004</v>
      </c>
      <c r="I191" s="200">
        <f t="shared" si="49"/>
        <v>5.3947266381718366E-2</v>
      </c>
      <c r="J191" s="200">
        <f t="shared" si="39"/>
        <v>101.40434726638171</v>
      </c>
      <c r="K191" s="200">
        <f t="shared" si="50"/>
        <v>0.99383670120816303</v>
      </c>
      <c r="L191" s="201">
        <f t="shared" si="51"/>
        <v>4.1911358703595258</v>
      </c>
      <c r="M191" s="202">
        <f t="shared" si="52"/>
        <v>0.17463066126498025</v>
      </c>
      <c r="N191" s="203">
        <f t="shared" si="53"/>
        <v>22.951133576208662</v>
      </c>
      <c r="O191" s="200">
        <f t="shared" si="40"/>
        <v>120.57652491877867</v>
      </c>
      <c r="P191" s="200">
        <f t="shared" si="41"/>
        <v>8.0384349945852449</v>
      </c>
      <c r="Q191" s="200">
        <f t="shared" si="42"/>
        <v>3.9615650054147551</v>
      </c>
      <c r="R191" s="200">
        <f t="shared" si="43"/>
        <v>20.038434994585245</v>
      </c>
      <c r="S191" s="204">
        <f t="shared" si="44"/>
        <v>0.24444444444444446</v>
      </c>
      <c r="T191" s="204">
        <f t="shared" si="45"/>
        <v>0.9145833333333333</v>
      </c>
      <c r="U191" s="205" t="str">
        <f t="shared" si="47"/>
        <v>E</v>
      </c>
      <c r="V191" s="272">
        <f t="shared" si="46"/>
        <v>2</v>
      </c>
      <c r="W191" s="207" t="str">
        <f>IF(Introduction!$E$7=1,CONCATENATE("🌞 ➚ ",TEXT(S191,"hh:mm")," ","➘ ",TEXT(T191,"hh:mm")),CONCATENATE("☼ ➚ ",TEXT(S191,"hh:mm")," ","➘ ",TEXT(T191,"hh:mm")))</f>
        <v>🌞 ➚ 05:52 ➘ 21:57</v>
      </c>
    </row>
    <row r="192" spans="6:23" x14ac:dyDescent="0.2">
      <c r="F192" s="198">
        <f t="shared" si="54"/>
        <v>44381</v>
      </c>
      <c r="G192" s="199">
        <f t="shared" si="48"/>
        <v>185</v>
      </c>
      <c r="H192" s="200">
        <f t="shared" si="38"/>
        <v>179.33600000000001</v>
      </c>
      <c r="I192" s="200">
        <f t="shared" si="49"/>
        <v>2.1717305199875445E-2</v>
      </c>
      <c r="J192" s="200">
        <f t="shared" si="39"/>
        <v>102.35771730519991</v>
      </c>
      <c r="K192" s="200">
        <f t="shared" si="50"/>
        <v>1.0713236473280938</v>
      </c>
      <c r="L192" s="201">
        <f t="shared" si="51"/>
        <v>4.3721638101118767</v>
      </c>
      <c r="M192" s="202">
        <f t="shared" si="52"/>
        <v>0.18217349208799485</v>
      </c>
      <c r="N192" s="203">
        <f t="shared" si="53"/>
        <v>22.866368501428031</v>
      </c>
      <c r="O192" s="200">
        <f t="shared" si="40"/>
        <v>120.44280490104755</v>
      </c>
      <c r="P192" s="200">
        <f t="shared" si="41"/>
        <v>8.0295203267365043</v>
      </c>
      <c r="Q192" s="200">
        <f t="shared" si="42"/>
        <v>3.9704796732634957</v>
      </c>
      <c r="R192" s="200">
        <f t="shared" si="43"/>
        <v>20.029520326736503</v>
      </c>
      <c r="S192" s="204">
        <f t="shared" si="44"/>
        <v>0.24513888888888888</v>
      </c>
      <c r="T192" s="204">
        <f t="shared" si="45"/>
        <v>0.9145833333333333</v>
      </c>
      <c r="U192" s="205" t="str">
        <f t="shared" si="47"/>
        <v>E</v>
      </c>
      <c r="V192" s="272">
        <f t="shared" si="46"/>
        <v>2</v>
      </c>
      <c r="W192" s="207" t="str">
        <f>IF(Introduction!$E$7=1,CONCATENATE("🌞 ➚ ",TEXT(S192,"hh:mm")," ","➘ ",TEXT(T192,"hh:mm")),CONCATENATE("☼ ➚ ",TEXT(S192,"hh:mm")," ","➘ ",TEXT(T192,"hh:mm")))</f>
        <v>🌞 ➚ 05:53 ➘ 21:57</v>
      </c>
    </row>
    <row r="193" spans="6:23" x14ac:dyDescent="0.2">
      <c r="F193" s="198">
        <f t="shared" si="54"/>
        <v>44382</v>
      </c>
      <c r="G193" s="199">
        <f t="shared" si="48"/>
        <v>186</v>
      </c>
      <c r="H193" s="200">
        <f t="shared" si="38"/>
        <v>180.32159999999999</v>
      </c>
      <c r="I193" s="200">
        <f t="shared" si="49"/>
        <v>-1.051867071451724E-2</v>
      </c>
      <c r="J193" s="200">
        <f t="shared" si="39"/>
        <v>103.31108132928546</v>
      </c>
      <c r="K193" s="200">
        <f t="shared" si="50"/>
        <v>1.1474900521118765</v>
      </c>
      <c r="L193" s="201">
        <f t="shared" si="51"/>
        <v>4.5478855255894368</v>
      </c>
      <c r="M193" s="202">
        <f t="shared" si="52"/>
        <v>0.18949523023289319</v>
      </c>
      <c r="N193" s="203">
        <f t="shared" si="53"/>
        <v>22.774971301499189</v>
      </c>
      <c r="O193" s="200">
        <f t="shared" si="40"/>
        <v>120.29901794470898</v>
      </c>
      <c r="P193" s="200">
        <f t="shared" si="41"/>
        <v>8.0199345296472657</v>
      </c>
      <c r="Q193" s="200">
        <f t="shared" si="42"/>
        <v>3.9800654703527343</v>
      </c>
      <c r="R193" s="200">
        <f t="shared" si="43"/>
        <v>20.019934529647266</v>
      </c>
      <c r="S193" s="204">
        <f t="shared" si="44"/>
        <v>0.24583333333333335</v>
      </c>
      <c r="T193" s="204">
        <f t="shared" si="45"/>
        <v>0.91388888888888886</v>
      </c>
      <c r="U193" s="205" t="str">
        <f t="shared" si="47"/>
        <v>E</v>
      </c>
      <c r="V193" s="272">
        <f t="shared" si="46"/>
        <v>2</v>
      </c>
      <c r="W193" s="207" t="str">
        <f>IF(Introduction!$E$7=1,CONCATENATE("🌞 ➚ ",TEXT(S193,"hh:mm")," ","➘ ",TEXT(T193,"hh:mm")),CONCATENATE("☼ ➚ ",TEXT(S193,"hh:mm")," ","➘ ",TEXT(T193,"hh:mm")))</f>
        <v>🌞 ➚ 05:54 ➘ 21:56</v>
      </c>
    </row>
    <row r="194" spans="6:23" x14ac:dyDescent="0.2">
      <c r="F194" s="198">
        <f t="shared" si="54"/>
        <v>44383</v>
      </c>
      <c r="G194" s="199">
        <f t="shared" si="48"/>
        <v>187</v>
      </c>
      <c r="H194" s="200">
        <f t="shared" si="38"/>
        <v>181.30719999999997</v>
      </c>
      <c r="I194" s="200">
        <f t="shared" si="49"/>
        <v>-4.2751733433034352E-2</v>
      </c>
      <c r="J194" s="200">
        <f t="shared" si="39"/>
        <v>104.264448266567</v>
      </c>
      <c r="K194" s="200">
        <f t="shared" si="50"/>
        <v>1.2222449732127854</v>
      </c>
      <c r="L194" s="201">
        <f t="shared" si="51"/>
        <v>4.7179729591190043</v>
      </c>
      <c r="M194" s="202">
        <f t="shared" si="52"/>
        <v>0.19658220662995851</v>
      </c>
      <c r="N194" s="203">
        <f t="shared" si="53"/>
        <v>22.676979538790729</v>
      </c>
      <c r="O194" s="200">
        <f t="shared" si="40"/>
        <v>120.14530795287776</v>
      </c>
      <c r="P194" s="200">
        <f t="shared" si="41"/>
        <v>8.0096871968585166</v>
      </c>
      <c r="Q194" s="200">
        <f t="shared" si="42"/>
        <v>3.9903128031414834</v>
      </c>
      <c r="R194" s="200">
        <f t="shared" si="43"/>
        <v>20.009687196858515</v>
      </c>
      <c r="S194" s="204">
        <f t="shared" si="44"/>
        <v>0.24652777777777779</v>
      </c>
      <c r="T194" s="204">
        <f t="shared" si="45"/>
        <v>0.91388888888888886</v>
      </c>
      <c r="U194" s="205" t="str">
        <f t="shared" si="47"/>
        <v>E</v>
      </c>
      <c r="V194" s="272">
        <f t="shared" si="46"/>
        <v>2</v>
      </c>
      <c r="W194" s="207" t="str">
        <f>IF(Introduction!$E$7=1,CONCATENATE("🌞 ➚ ",TEXT(S194,"hh:mm")," ","➘ ",TEXT(T194,"hh:mm")),CONCATENATE("☼ ➚ ",TEXT(S194,"hh:mm")," ","➘ ",TEXT(T194,"hh:mm")))</f>
        <v>🌞 ➚ 05:55 ➘ 21:56</v>
      </c>
    </row>
    <row r="195" spans="6:23" x14ac:dyDescent="0.2">
      <c r="F195" s="198">
        <f t="shared" si="54"/>
        <v>44384</v>
      </c>
      <c r="G195" s="199">
        <f t="shared" si="48"/>
        <v>188</v>
      </c>
      <c r="H195" s="200">
        <f t="shared" si="38"/>
        <v>182.29279999999994</v>
      </c>
      <c r="I195" s="200">
        <f t="shared" si="49"/>
        <v>-7.4972955653412277E-2</v>
      </c>
      <c r="J195" s="200">
        <f t="shared" si="39"/>
        <v>105.21782704434656</v>
      </c>
      <c r="K195" s="200">
        <f t="shared" si="50"/>
        <v>1.2954996014912639</v>
      </c>
      <c r="L195" s="201">
        <f t="shared" si="51"/>
        <v>4.8821065833514066</v>
      </c>
      <c r="M195" s="202">
        <f t="shared" si="52"/>
        <v>0.20342110763964194</v>
      </c>
      <c r="N195" s="203">
        <f t="shared" si="53"/>
        <v>22.572433110588062</v>
      </c>
      <c r="O195" s="200">
        <f t="shared" si="40"/>
        <v>119.9818264126481</v>
      </c>
      <c r="P195" s="200">
        <f t="shared" si="41"/>
        <v>7.998788427509874</v>
      </c>
      <c r="Q195" s="200">
        <f t="shared" si="42"/>
        <v>4.001211572490126</v>
      </c>
      <c r="R195" s="200">
        <f t="shared" si="43"/>
        <v>19.998788427509872</v>
      </c>
      <c r="S195" s="204">
        <f t="shared" si="44"/>
        <v>0.24722222222222223</v>
      </c>
      <c r="T195" s="204">
        <f t="shared" si="45"/>
        <v>0.91319444444444453</v>
      </c>
      <c r="U195" s="205" t="str">
        <f t="shared" si="47"/>
        <v>E</v>
      </c>
      <c r="V195" s="272">
        <f t="shared" si="46"/>
        <v>2</v>
      </c>
      <c r="W195" s="207" t="str">
        <f>IF(Introduction!$E$7=1,CONCATENATE("🌞 ➚ ",TEXT(S195,"hh:mm")," ","➘ ",TEXT(T195,"hh:mm")),CONCATENATE("☼ ➚ ",TEXT(S195,"hh:mm")," ","➘ ",TEXT(T195,"hh:mm")))</f>
        <v>🌞 ➚ 05:56 ➘ 21:55</v>
      </c>
    </row>
    <row r="196" spans="6:23" x14ac:dyDescent="0.2">
      <c r="F196" s="198">
        <f t="shared" si="54"/>
        <v>44385</v>
      </c>
      <c r="G196" s="199">
        <f t="shared" si="48"/>
        <v>189</v>
      </c>
      <c r="H196" s="200">
        <f t="shared" si="38"/>
        <v>183.27840000000003</v>
      </c>
      <c r="I196" s="200">
        <f t="shared" si="49"/>
        <v>-0.10717341261864495</v>
      </c>
      <c r="J196" s="200">
        <f t="shared" si="39"/>
        <v>106.1712265873814</v>
      </c>
      <c r="K196" s="200">
        <f t="shared" si="50"/>
        <v>1.3671673813976384</v>
      </c>
      <c r="L196" s="201">
        <f t="shared" si="51"/>
        <v>5.0399758751159736</v>
      </c>
      <c r="M196" s="202">
        <f t="shared" si="52"/>
        <v>0.20999899479649889</v>
      </c>
      <c r="N196" s="203">
        <f t="shared" si="53"/>
        <v>22.461374198765643</v>
      </c>
      <c r="O196" s="200">
        <f t="shared" si="40"/>
        <v>119.80873187813286</v>
      </c>
      <c r="P196" s="200">
        <f t="shared" si="41"/>
        <v>7.9872487918755244</v>
      </c>
      <c r="Q196" s="200">
        <f t="shared" si="42"/>
        <v>4.0127512081244756</v>
      </c>
      <c r="R196" s="200">
        <f t="shared" si="43"/>
        <v>19.987248791875523</v>
      </c>
      <c r="S196" s="204">
        <f t="shared" si="44"/>
        <v>0.24722222222222223</v>
      </c>
      <c r="T196" s="204">
        <f t="shared" si="45"/>
        <v>0.91319444444444453</v>
      </c>
      <c r="U196" s="205" t="str">
        <f t="shared" si="47"/>
        <v>E</v>
      </c>
      <c r="V196" s="272">
        <f t="shared" si="46"/>
        <v>2</v>
      </c>
      <c r="W196" s="207" t="str">
        <f>IF(Introduction!$E$7=1,CONCATENATE("🌞 ➚ ",TEXT(S196,"hh:mm")," ","➘ ",TEXT(T196,"hh:mm")),CONCATENATE("☼ ➚ ",TEXT(S196,"hh:mm")," ","➘ ",TEXT(T196,"hh:mm")))</f>
        <v>🌞 ➚ 05:56 ➘ 21:55</v>
      </c>
    </row>
    <row r="197" spans="6:23" x14ac:dyDescent="0.2">
      <c r="F197" s="198">
        <f t="shared" si="54"/>
        <v>44386</v>
      </c>
      <c r="G197" s="199">
        <f t="shared" si="48"/>
        <v>190</v>
      </c>
      <c r="H197" s="200">
        <f t="shared" si="38"/>
        <v>184.26400000000001</v>
      </c>
      <c r="I197" s="200">
        <f t="shared" si="49"/>
        <v>-0.13934418403643922</v>
      </c>
      <c r="J197" s="200">
        <f t="shared" si="39"/>
        <v>107.12465581596359</v>
      </c>
      <c r="K197" s="200">
        <f t="shared" si="50"/>
        <v>1.4371641263691821</v>
      </c>
      <c r="L197" s="201">
        <f t="shared" si="51"/>
        <v>5.191279769330972</v>
      </c>
      <c r="M197" s="202">
        <f t="shared" si="52"/>
        <v>0.21630332372212382</v>
      </c>
      <c r="N197" s="203">
        <f t="shared" si="53"/>
        <v>22.343847217357585</v>
      </c>
      <c r="O197" s="200">
        <f t="shared" si="40"/>
        <v>119.62618944174129</v>
      </c>
      <c r="P197" s="200">
        <f t="shared" si="41"/>
        <v>7.9750792961160863</v>
      </c>
      <c r="Q197" s="200">
        <f t="shared" si="42"/>
        <v>4.0249207038839137</v>
      </c>
      <c r="R197" s="200">
        <f t="shared" si="43"/>
        <v>19.975079296116085</v>
      </c>
      <c r="S197" s="204">
        <f t="shared" si="44"/>
        <v>0.24791666666666667</v>
      </c>
      <c r="T197" s="204">
        <f t="shared" si="45"/>
        <v>0.91249999999999998</v>
      </c>
      <c r="U197" s="205" t="str">
        <f t="shared" si="47"/>
        <v>E</v>
      </c>
      <c r="V197" s="272">
        <f t="shared" si="46"/>
        <v>2</v>
      </c>
      <c r="W197" s="207" t="str">
        <f>IF(Introduction!$E$7=1,CONCATENATE("🌞 ➚ ",TEXT(S197,"hh:mm")," ","➘ ",TEXT(T197,"hh:mm")),CONCATENATE("☼ ➚ ",TEXT(S197,"hh:mm")," ","➘ ",TEXT(T197,"hh:mm")))</f>
        <v>🌞 ➚ 05:57 ➘ 21:54</v>
      </c>
    </row>
    <row r="198" spans="6:23" x14ac:dyDescent="0.2">
      <c r="F198" s="198">
        <f t="shared" si="54"/>
        <v>44387</v>
      </c>
      <c r="G198" s="199">
        <f t="shared" si="48"/>
        <v>191</v>
      </c>
      <c r="H198" s="200">
        <f t="shared" ref="H198:H261" si="55">MOD(357+0.9856*$G198,360)</f>
        <v>185.24959999999999</v>
      </c>
      <c r="I198" s="200">
        <f t="shared" si="49"/>
        <v>-0.17147635599937927</v>
      </c>
      <c r="J198" s="200">
        <f t="shared" ref="J198:J261" si="56">MOD(280+$I198+0.9856*$G198,360)</f>
        <v>108.07812364400058</v>
      </c>
      <c r="K198" s="200">
        <f t="shared" si="50"/>
        <v>1.5054081290281383</v>
      </c>
      <c r="L198" s="201">
        <f t="shared" si="51"/>
        <v>5.3357270921150359</v>
      </c>
      <c r="M198" s="202">
        <f t="shared" si="52"/>
        <v>0.22232196217145983</v>
      </c>
      <c r="N198" s="203">
        <f t="shared" si="53"/>
        <v>22.219898758206277</v>
      </c>
      <c r="O198" s="200">
        <f t="shared" ref="O198:O261" si="57">ACOS((-0.01454-SIN(PI()/180*$N198)*SIN(PI()/180*$L$2))/(COS(PI()/180*$N198)*COS(PI()/180*$L$2)))*180/PI()</f>
        <v>119.43437019707636</v>
      </c>
      <c r="P198" s="200">
        <f t="shared" ref="P198:P261" si="58">$O198/15</f>
        <v>7.9622913464717575</v>
      </c>
      <c r="Q198" s="200">
        <f t="shared" ref="Q198:Q261" si="59">12-$P198</f>
        <v>4.0377086535282425</v>
      </c>
      <c r="R198" s="200">
        <f t="shared" ref="R198:R261" si="60">12+$P198</f>
        <v>19.962291346471758</v>
      </c>
      <c r="S198" s="204">
        <f t="shared" ref="S198:S261" si="61">(TRUNC($Q198+$L198/60+$L$3*4/60+$V198)+ROUND((($Q198+$L198/60+$L$3*4/60+$V198)-TRUNC($Q198+$L198/60+$L$3*4/60+$V198))*60,0)/60)/24</f>
        <v>0.24861111111111112</v>
      </c>
      <c r="T198" s="204">
        <f t="shared" ref="T198:T261" si="62">(TRUNC($R198+$L198/60+$L$3*4/60+$V198)+ROUND((($R198+$L198/60+$L$3*4/60+$V198)-TRUNC($R198+$L198/60+$L$3*4/60+$V198))*60,0)/60)/24</f>
        <v>0.91249999999999998</v>
      </c>
      <c r="U198" s="205" t="str">
        <f t="shared" si="47"/>
        <v>E</v>
      </c>
      <c r="V198" s="272">
        <f t="shared" si="46"/>
        <v>2</v>
      </c>
      <c r="W198" s="207" t="str">
        <f>IF(Introduction!$E$7=1,CONCATENATE("🌞 ➚ ",TEXT(S198,"hh:mm")," ","➘ ",TEXT(T198,"hh:mm")),CONCATENATE("☼ ➚ ",TEXT(S198,"hh:mm")," ","➘ ",TEXT(T198,"hh:mm")))</f>
        <v>🌞 ➚ 05:58 ➘ 21:54</v>
      </c>
    </row>
    <row r="199" spans="6:23" x14ac:dyDescent="0.2">
      <c r="F199" s="198">
        <f t="shared" si="54"/>
        <v>44388</v>
      </c>
      <c r="G199" s="199">
        <f t="shared" si="48"/>
        <v>192</v>
      </c>
      <c r="H199" s="200">
        <f t="shared" si="55"/>
        <v>186.23520000000008</v>
      </c>
      <c r="I199" s="200">
        <f t="shared" si="49"/>
        <v>-0.20356102290599895</v>
      </c>
      <c r="J199" s="200">
        <f t="shared" si="56"/>
        <v>109.03163897709402</v>
      </c>
      <c r="K199" s="200">
        <f t="shared" si="50"/>
        <v>1.5718202659831426</v>
      </c>
      <c r="L199" s="201">
        <f t="shared" si="51"/>
        <v>5.4730369723085746</v>
      </c>
      <c r="M199" s="202">
        <f t="shared" si="52"/>
        <v>0.22804320717952395</v>
      </c>
      <c r="N199" s="203">
        <f t="shared" si="53"/>
        <v>22.089577534872877</v>
      </c>
      <c r="O199" s="200">
        <f t="shared" si="57"/>
        <v>119.23345069674859</v>
      </c>
      <c r="P199" s="200">
        <f t="shared" si="58"/>
        <v>7.9488967131165724</v>
      </c>
      <c r="Q199" s="200">
        <f t="shared" si="59"/>
        <v>4.0511032868834276</v>
      </c>
      <c r="R199" s="200">
        <f t="shared" si="60"/>
        <v>19.948896713116572</v>
      </c>
      <c r="S199" s="204">
        <f t="shared" si="61"/>
        <v>0.24930555555555556</v>
      </c>
      <c r="T199" s="204">
        <f t="shared" si="62"/>
        <v>0.91180555555555554</v>
      </c>
      <c r="U199" s="205" t="str">
        <f t="shared" si="47"/>
        <v>E</v>
      </c>
      <c r="V199" s="272">
        <f t="shared" ref="V199:V262" si="63">IF(U199="H",$AC$6,$AC$7)</f>
        <v>2</v>
      </c>
      <c r="W199" s="207" t="str">
        <f>IF(Introduction!$E$7=1,CONCATENATE("🌞 ➚ ",TEXT(S199,"hh:mm")," ","➘ ",TEXT(T199,"hh:mm")),CONCATENATE("☼ ➚ ",TEXT(S199,"hh:mm")," ","➘ ",TEXT(T199,"hh:mm")))</f>
        <v>🌞 ➚ 05:59 ➘ 21:53</v>
      </c>
    </row>
    <row r="200" spans="6:23" x14ac:dyDescent="0.2">
      <c r="F200" s="198">
        <f t="shared" si="54"/>
        <v>44389</v>
      </c>
      <c r="G200" s="199">
        <f t="shared" si="48"/>
        <v>193</v>
      </c>
      <c r="H200" s="200">
        <f t="shared" si="55"/>
        <v>187.22080000000005</v>
      </c>
      <c r="I200" s="200">
        <f t="shared" si="49"/>
        <v>-0.23558928938309703</v>
      </c>
      <c r="J200" s="200">
        <f t="shared" si="56"/>
        <v>109.98521071061691</v>
      </c>
      <c r="K200" s="200">
        <f t="shared" si="50"/>
        <v>1.6363240970535766</v>
      </c>
      <c r="L200" s="201">
        <f t="shared" si="51"/>
        <v>5.6029392306819181</v>
      </c>
      <c r="M200" s="202">
        <f t="shared" si="52"/>
        <v>0.23345580127841326</v>
      </c>
      <c r="N200" s="203">
        <f t="shared" si="53"/>
        <v>21.952934324995784</v>
      </c>
      <c r="O200" s="200">
        <f t="shared" si="57"/>
        <v>119.02361240829325</v>
      </c>
      <c r="P200" s="200">
        <f t="shared" si="58"/>
        <v>7.9349074938862163</v>
      </c>
      <c r="Q200" s="200">
        <f t="shared" si="59"/>
        <v>4.0650925061137837</v>
      </c>
      <c r="R200" s="200">
        <f t="shared" si="60"/>
        <v>19.934907493886215</v>
      </c>
      <c r="S200" s="204">
        <f t="shared" si="61"/>
        <v>0.25</v>
      </c>
      <c r="T200" s="204">
        <f t="shared" si="62"/>
        <v>0.91111111111111109</v>
      </c>
      <c r="U200" s="205" t="str">
        <f t="shared" ref="U200:U263" si="64">IF(YEAR($F200)=$AA$5,IF(AND($F200&gt;=$AA$6,$F200&lt;$AA$7),"E",IF(AND($F200&gt;=$AA$6,$F200&lt;$AA$7),"E","H")),IF(AND($F200&gt;=$AB$6,$F200&lt;$AB$7),"E",IF(AND($F200&gt;=$AB$6,$F200&lt;$AB$7),"E","H")))</f>
        <v>E</v>
      </c>
      <c r="V200" s="272">
        <f t="shared" si="63"/>
        <v>2</v>
      </c>
      <c r="W200" s="207" t="str">
        <f>IF(Introduction!$E$7=1,CONCATENATE("🌞 ➚ ",TEXT(S200,"hh:mm")," ","➘ ",TEXT(T200,"hh:mm")),CONCATENATE("☼ ➚ ",TEXT(S200,"hh:mm")," ","➘ ",TEXT(T200,"hh:mm")))</f>
        <v>🌞 ➚ 06:00 ➘ 21:52</v>
      </c>
    </row>
    <row r="201" spans="6:23" x14ac:dyDescent="0.2">
      <c r="F201" s="198">
        <f t="shared" si="54"/>
        <v>44390</v>
      </c>
      <c r="G201" s="199">
        <f t="shared" ref="G201:G264" si="65">F201-DATE(YEAR(F201),1,0)</f>
        <v>194</v>
      </c>
      <c r="H201" s="200">
        <f t="shared" si="55"/>
        <v>188.20640000000003</v>
      </c>
      <c r="I201" s="200">
        <f t="shared" ref="I201:I264" si="66">1.914*SIN(PI()/180*$H201)+0.02*SIN(PI()/180*2*$H201)</f>
        <v>-0.26755227220957339</v>
      </c>
      <c r="J201" s="200">
        <f t="shared" si="56"/>
        <v>110.9388477277904</v>
      </c>
      <c r="K201" s="200">
        <f t="shared" ref="K201:K264" si="67">-2.466*SIN(PI()/180*2*$J201)+0.053*SIN(PI()/180*4*$J201)</f>
        <v>1.6988459587537703</v>
      </c>
      <c r="L201" s="201">
        <f t="shared" ref="L201:L264" si="68">($I201+$K201)*4</f>
        <v>5.7251747461767879</v>
      </c>
      <c r="M201" s="202">
        <f t="shared" ref="M201:M264" si="69">ABS($L201)/24</f>
        <v>0.23854894775736615</v>
      </c>
      <c r="N201" s="203">
        <f t="shared" ref="N201:N264" si="70">ASIN(0.3978*SIN(PI()/180*$J201))*180/PI()</f>
        <v>21.810021911284988</v>
      </c>
      <c r="O201" s="200">
        <f t="shared" si="57"/>
        <v>118.80504117123765</v>
      </c>
      <c r="P201" s="200">
        <f t="shared" si="58"/>
        <v>7.9203360780825101</v>
      </c>
      <c r="Q201" s="200">
        <f t="shared" si="59"/>
        <v>4.0796639219174899</v>
      </c>
      <c r="R201" s="200">
        <f t="shared" si="60"/>
        <v>19.92033607808251</v>
      </c>
      <c r="S201" s="204">
        <f t="shared" si="61"/>
        <v>0.25069444444444444</v>
      </c>
      <c r="T201" s="204">
        <f t="shared" si="62"/>
        <v>0.91111111111111109</v>
      </c>
      <c r="U201" s="205" t="str">
        <f t="shared" si="64"/>
        <v>E</v>
      </c>
      <c r="V201" s="272">
        <f t="shared" si="63"/>
        <v>2</v>
      </c>
      <c r="W201" s="207" t="str">
        <f>IF(Introduction!$E$7=1,CONCATENATE("🌞 ➚ ",TEXT(S201,"hh:mm")," ","➘ ",TEXT(T201,"hh:mm")),CONCATENATE("☼ ➚ ",TEXT(S201,"hh:mm")," ","➘ ",TEXT(T201,"hh:mm")))</f>
        <v>🌞 ➚ 06:01 ➘ 21:52</v>
      </c>
    </row>
    <row r="202" spans="6:23" x14ac:dyDescent="0.2">
      <c r="F202" s="198">
        <f t="shared" ref="F202:F265" si="71">F201+1</f>
        <v>44391</v>
      </c>
      <c r="G202" s="199">
        <f t="shared" si="65"/>
        <v>195</v>
      </c>
      <c r="H202" s="200">
        <f t="shared" si="55"/>
        <v>189.19200000000001</v>
      </c>
      <c r="I202" s="200">
        <f t="shared" si="66"/>
        <v>-0.29944110224201836</v>
      </c>
      <c r="J202" s="200">
        <f t="shared" si="56"/>
        <v>111.89255889775797</v>
      </c>
      <c r="K202" s="200">
        <f t="shared" si="67"/>
        <v>1.7593150518915237</v>
      </c>
      <c r="L202" s="201">
        <f t="shared" si="68"/>
        <v>5.8394957985980209</v>
      </c>
      <c r="M202" s="202">
        <f t="shared" si="69"/>
        <v>0.2433123249415842</v>
      </c>
      <c r="N202" s="203">
        <f t="shared" si="70"/>
        <v>21.660895021341105</v>
      </c>
      <c r="O202" s="200">
        <f t="shared" si="57"/>
        <v>118.57792665820452</v>
      </c>
      <c r="P202" s="200">
        <f t="shared" si="58"/>
        <v>7.905195110546968</v>
      </c>
      <c r="Q202" s="200">
        <f t="shared" si="59"/>
        <v>4.094804889453032</v>
      </c>
      <c r="R202" s="200">
        <f t="shared" si="60"/>
        <v>19.90519511054697</v>
      </c>
      <c r="S202" s="204">
        <f t="shared" si="61"/>
        <v>0.25138888888888888</v>
      </c>
      <c r="T202" s="204">
        <f t="shared" si="62"/>
        <v>0.91041666666666676</v>
      </c>
      <c r="U202" s="205" t="str">
        <f t="shared" si="64"/>
        <v>E</v>
      </c>
      <c r="V202" s="272">
        <f t="shared" si="63"/>
        <v>2</v>
      </c>
      <c r="W202" s="207" t="str">
        <f>IF(Introduction!$E$7=1,CONCATENATE("🌞 ➚ ",TEXT(S202,"hh:mm")," ","➘ ",TEXT(T202,"hh:mm")),CONCATENATE("☼ ➚ ",TEXT(S202,"hh:mm")," ","➘ ",TEXT(T202,"hh:mm")))</f>
        <v>🌞 ➚ 06:02 ➘ 21:51</v>
      </c>
    </row>
    <row r="203" spans="6:23" x14ac:dyDescent="0.2">
      <c r="F203" s="198">
        <f t="shared" si="71"/>
        <v>44392</v>
      </c>
      <c r="G203" s="199">
        <f t="shared" si="65"/>
        <v>196</v>
      </c>
      <c r="H203" s="200">
        <f t="shared" si="55"/>
        <v>190.17759999999998</v>
      </c>
      <c r="I203" s="200">
        <f t="shared" si="66"/>
        <v>-0.33124692634234482</v>
      </c>
      <c r="J203" s="200">
        <f t="shared" si="56"/>
        <v>112.84635307365772</v>
      </c>
      <c r="K203" s="200">
        <f t="shared" si="67"/>
        <v>1.8176635231537259</v>
      </c>
      <c r="L203" s="201">
        <f t="shared" si="68"/>
        <v>5.9456663872455247</v>
      </c>
      <c r="M203" s="202">
        <f t="shared" si="69"/>
        <v>0.24773609946856354</v>
      </c>
      <c r="N203" s="203">
        <f t="shared" si="70"/>
        <v>21.505610266487221</v>
      </c>
      <c r="O203" s="200">
        <f t="shared" si="57"/>
        <v>118.34246184275707</v>
      </c>
      <c r="P203" s="200">
        <f t="shared" si="58"/>
        <v>7.8894974561838049</v>
      </c>
      <c r="Q203" s="200">
        <f t="shared" si="59"/>
        <v>4.1105025438161951</v>
      </c>
      <c r="R203" s="200">
        <f t="shared" si="60"/>
        <v>19.889497456183804</v>
      </c>
      <c r="S203" s="204">
        <f t="shared" si="61"/>
        <v>0.25208333333333333</v>
      </c>
      <c r="T203" s="204">
        <f t="shared" si="62"/>
        <v>0.90972222222222221</v>
      </c>
      <c r="U203" s="205" t="str">
        <f t="shared" si="64"/>
        <v>E</v>
      </c>
      <c r="V203" s="272">
        <f t="shared" si="63"/>
        <v>2</v>
      </c>
      <c r="W203" s="207" t="str">
        <f>IF(Introduction!$E$7=1,CONCATENATE("🌞 ➚ ",TEXT(S203,"hh:mm")," ","➘ ",TEXT(T203,"hh:mm")),CONCATENATE("☼ ➚ ",TEXT(S203,"hh:mm")," ","➘ ",TEXT(T203,"hh:mm")))</f>
        <v>🌞 ➚ 06:03 ➘ 21:50</v>
      </c>
    </row>
    <row r="204" spans="6:23" x14ac:dyDescent="0.2">
      <c r="F204" s="198">
        <f t="shared" si="71"/>
        <v>44393</v>
      </c>
      <c r="G204" s="199">
        <f t="shared" si="65"/>
        <v>197</v>
      </c>
      <c r="H204" s="200">
        <f t="shared" si="55"/>
        <v>191.16319999999996</v>
      </c>
      <c r="I204" s="200">
        <f t="shared" si="66"/>
        <v>-0.36296090930771246</v>
      </c>
      <c r="J204" s="200">
        <f t="shared" si="56"/>
        <v>113.80023909069229</v>
      </c>
      <c r="K204" s="200">
        <f t="shared" si="67"/>
        <v>1.8738265405702028</v>
      </c>
      <c r="L204" s="201">
        <f t="shared" si="68"/>
        <v>6.0434625250499616</v>
      </c>
      <c r="M204" s="202">
        <f t="shared" si="69"/>
        <v>0.25181093854374842</v>
      </c>
      <c r="N204" s="203">
        <f t="shared" si="70"/>
        <v>21.34422607980105</v>
      </c>
      <c r="O204" s="200">
        <f t="shared" si="57"/>
        <v>118.0988424764942</v>
      </c>
      <c r="P204" s="200">
        <f t="shared" si="58"/>
        <v>7.8732561650996136</v>
      </c>
      <c r="Q204" s="200">
        <f t="shared" si="59"/>
        <v>4.1267438349003864</v>
      </c>
      <c r="R204" s="200">
        <f t="shared" si="60"/>
        <v>19.873256165099612</v>
      </c>
      <c r="S204" s="204">
        <f t="shared" si="61"/>
        <v>0.25277777777777777</v>
      </c>
      <c r="T204" s="204">
        <f t="shared" si="62"/>
        <v>0.90902777777777777</v>
      </c>
      <c r="U204" s="205" t="str">
        <f t="shared" si="64"/>
        <v>E</v>
      </c>
      <c r="V204" s="272">
        <f t="shared" si="63"/>
        <v>2</v>
      </c>
      <c r="W204" s="207" t="str">
        <f>IF(Introduction!$E$7=1,CONCATENATE("🌞 ➚ ",TEXT(S204,"hh:mm")," ","➘ ",TEXT(T204,"hh:mm")),CONCATENATE("☼ ➚ ",TEXT(S204,"hh:mm")," ","➘ ",TEXT(T204,"hh:mm")))</f>
        <v>🌞 ➚ 06:04 ➘ 21:49</v>
      </c>
    </row>
    <row r="205" spans="6:23" x14ac:dyDescent="0.2">
      <c r="F205" s="198">
        <f t="shared" si="71"/>
        <v>44394</v>
      </c>
      <c r="G205" s="199">
        <f t="shared" si="65"/>
        <v>198</v>
      </c>
      <c r="H205" s="200">
        <f t="shared" si="55"/>
        <v>192.14879999999994</v>
      </c>
      <c r="I205" s="200">
        <f t="shared" si="66"/>
        <v>-0.39457423580298168</v>
      </c>
      <c r="J205" s="200">
        <f t="shared" si="56"/>
        <v>114.75422576419703</v>
      </c>
      <c r="K205" s="200">
        <f t="shared" si="67"/>
        <v>1.92774236276566</v>
      </c>
      <c r="L205" s="201">
        <f t="shared" si="68"/>
        <v>6.1326725078507138</v>
      </c>
      <c r="M205" s="202">
        <f t="shared" si="69"/>
        <v>0.25552802116044643</v>
      </c>
      <c r="N205" s="203">
        <f t="shared" si="70"/>
        <v>21.176802653532199</v>
      </c>
      <c r="O205" s="200">
        <f t="shared" si="57"/>
        <v>117.84726657769608</v>
      </c>
      <c r="P205" s="200">
        <f t="shared" si="58"/>
        <v>7.8564844385130721</v>
      </c>
      <c r="Q205" s="200">
        <f t="shared" si="59"/>
        <v>4.1435155614869279</v>
      </c>
      <c r="R205" s="200">
        <f t="shared" si="60"/>
        <v>19.856484438513071</v>
      </c>
      <c r="S205" s="204">
        <f t="shared" si="61"/>
        <v>0.25347222222222221</v>
      </c>
      <c r="T205" s="204">
        <f t="shared" si="62"/>
        <v>0.90833333333333333</v>
      </c>
      <c r="U205" s="205" t="str">
        <f t="shared" si="64"/>
        <v>E</v>
      </c>
      <c r="V205" s="272">
        <f t="shared" si="63"/>
        <v>2</v>
      </c>
      <c r="W205" s="207" t="str">
        <f>IF(Introduction!$E$7=1,CONCATENATE("🌞 ➚ ",TEXT(S205,"hh:mm")," ","➘ ",TEXT(T205,"hh:mm")),CONCATENATE("☼ ➚ ",TEXT(S205,"hh:mm")," ","➘ ",TEXT(T205,"hh:mm")))</f>
        <v>🌞 ➚ 06:05 ➘ 21:48</v>
      </c>
    </row>
    <row r="206" spans="6:23" x14ac:dyDescent="0.2">
      <c r="F206" s="198">
        <f t="shared" si="71"/>
        <v>44395</v>
      </c>
      <c r="G206" s="199">
        <f t="shared" si="65"/>
        <v>199</v>
      </c>
      <c r="H206" s="200">
        <f t="shared" si="55"/>
        <v>193.13440000000003</v>
      </c>
      <c r="I206" s="200">
        <f t="shared" si="66"/>
        <v>-0.42607811229595099</v>
      </c>
      <c r="J206" s="200">
        <f t="shared" si="56"/>
        <v>115.70832188770407</v>
      </c>
      <c r="K206" s="200">
        <f t="shared" si="67"/>
        <v>1.9793524019282374</v>
      </c>
      <c r="L206" s="201">
        <f t="shared" si="68"/>
        <v>6.2130971585291457</v>
      </c>
      <c r="M206" s="202">
        <f t="shared" si="69"/>
        <v>0.25887904827204772</v>
      </c>
      <c r="N206" s="203">
        <f t="shared" si="70"/>
        <v>21.003401876087306</v>
      </c>
      <c r="O206" s="200">
        <f t="shared" si="57"/>
        <v>117.58793393360465</v>
      </c>
      <c r="P206" s="200">
        <f t="shared" si="58"/>
        <v>7.839195595573643</v>
      </c>
      <c r="Q206" s="200">
        <f t="shared" si="59"/>
        <v>4.160804404426357</v>
      </c>
      <c r="R206" s="200">
        <f t="shared" si="60"/>
        <v>19.839195595573642</v>
      </c>
      <c r="S206" s="204">
        <f t="shared" si="61"/>
        <v>0.25416666666666665</v>
      </c>
      <c r="T206" s="204">
        <f t="shared" si="62"/>
        <v>0.90763888888888899</v>
      </c>
      <c r="U206" s="205" t="str">
        <f t="shared" si="64"/>
        <v>E</v>
      </c>
      <c r="V206" s="272">
        <f t="shared" si="63"/>
        <v>2</v>
      </c>
      <c r="W206" s="207" t="str">
        <f>IF(Introduction!$E$7=1,CONCATENATE("🌞 ➚ ",TEXT(S206,"hh:mm")," ","➘ ",TEXT(T206,"hh:mm")),CONCATENATE("☼ ➚ ",TEXT(S206,"hh:mm")," ","➘ ",TEXT(T206,"hh:mm")))</f>
        <v>🌞 ➚ 06:06 ➘ 21:47</v>
      </c>
    </row>
    <row r="207" spans="6:23" x14ac:dyDescent="0.2">
      <c r="F207" s="198">
        <f t="shared" si="71"/>
        <v>44396</v>
      </c>
      <c r="G207" s="199">
        <f t="shared" si="65"/>
        <v>200</v>
      </c>
      <c r="H207" s="200">
        <f t="shared" si="55"/>
        <v>194.12</v>
      </c>
      <c r="I207" s="200">
        <f t="shared" si="66"/>
        <v>-0.45746376899555907</v>
      </c>
      <c r="J207" s="200">
        <f t="shared" si="56"/>
        <v>116.66253623100442</v>
      </c>
      <c r="K207" s="200">
        <f t="shared" si="67"/>
        <v>2.0286012804424307</v>
      </c>
      <c r="L207" s="201">
        <f t="shared" si="68"/>
        <v>6.284550045787487</v>
      </c>
      <c r="M207" s="202">
        <f t="shared" si="69"/>
        <v>0.26185625190781198</v>
      </c>
      <c r="N207" s="203">
        <f t="shared" si="70"/>
        <v>20.824087268761357</v>
      </c>
      <c r="O207" s="200">
        <f t="shared" si="57"/>
        <v>117.32104561820024</v>
      </c>
      <c r="P207" s="200">
        <f t="shared" si="58"/>
        <v>7.8214030412133493</v>
      </c>
      <c r="Q207" s="200">
        <f t="shared" si="59"/>
        <v>4.1785969587866507</v>
      </c>
      <c r="R207" s="200">
        <f t="shared" si="60"/>
        <v>19.821403041213351</v>
      </c>
      <c r="S207" s="204">
        <f t="shared" si="61"/>
        <v>0.25555555555555559</v>
      </c>
      <c r="T207" s="204">
        <f t="shared" si="62"/>
        <v>0.90694444444444444</v>
      </c>
      <c r="U207" s="205" t="str">
        <f t="shared" si="64"/>
        <v>E</v>
      </c>
      <c r="V207" s="272">
        <f t="shared" si="63"/>
        <v>2</v>
      </c>
      <c r="W207" s="207" t="str">
        <f>IF(Introduction!$E$7=1,CONCATENATE("🌞 ➚ ",TEXT(S207,"hh:mm")," ","➘ ",TEXT(T207,"hh:mm")),CONCATENATE("☼ ➚ ",TEXT(S207,"hh:mm")," ","➘ ",TEXT(T207,"hh:mm")))</f>
        <v>🌞 ➚ 06:08 ➘ 21:46</v>
      </c>
    </row>
    <row r="208" spans="6:23" x14ac:dyDescent="0.2">
      <c r="F208" s="198">
        <f t="shared" si="71"/>
        <v>44397</v>
      </c>
      <c r="G208" s="199">
        <f t="shared" si="65"/>
        <v>201</v>
      </c>
      <c r="H208" s="200">
        <f t="shared" si="55"/>
        <v>195.10559999999998</v>
      </c>
      <c r="I208" s="200">
        <f t="shared" si="66"/>
        <v>-0.48872246179334017</v>
      </c>
      <c r="J208" s="200">
        <f t="shared" si="56"/>
        <v>117.61687753820672</v>
      </c>
      <c r="K208" s="200">
        <f t="shared" si="67"/>
        <v>2.0754368811528634</v>
      </c>
      <c r="L208" s="201">
        <f t="shared" si="68"/>
        <v>6.3468576774380931</v>
      </c>
      <c r="M208" s="202">
        <f t="shared" si="69"/>
        <v>0.2644524032265872</v>
      </c>
      <c r="N208" s="203">
        <f t="shared" si="70"/>
        <v>20.638923922389726</v>
      </c>
      <c r="O208" s="200">
        <f t="shared" si="57"/>
        <v>117.04680352711306</v>
      </c>
      <c r="P208" s="200">
        <f t="shared" si="58"/>
        <v>7.8031202351408702</v>
      </c>
      <c r="Q208" s="200">
        <f t="shared" si="59"/>
        <v>4.1968797648591298</v>
      </c>
      <c r="R208" s="200">
        <f t="shared" si="60"/>
        <v>19.80312023514087</v>
      </c>
      <c r="S208" s="204">
        <f t="shared" si="61"/>
        <v>0.25625000000000003</v>
      </c>
      <c r="T208" s="204">
        <f t="shared" si="62"/>
        <v>0.90625</v>
      </c>
      <c r="U208" s="205" t="str">
        <f t="shared" si="64"/>
        <v>E</v>
      </c>
      <c r="V208" s="272">
        <f t="shared" si="63"/>
        <v>2</v>
      </c>
      <c r="W208" s="207" t="str">
        <f>IF(Introduction!$E$7=1,CONCATENATE("🌞 ➚ ",TEXT(S208,"hh:mm")," ","➘ ",TEXT(T208,"hh:mm")),CONCATENATE("☼ ➚ ",TEXT(S208,"hh:mm")," ","➘ ",TEXT(T208,"hh:mm")))</f>
        <v>🌞 ➚ 06:09 ➘ 21:45</v>
      </c>
    </row>
    <row r="209" spans="6:23" x14ac:dyDescent="0.2">
      <c r="F209" s="198">
        <f t="shared" si="71"/>
        <v>44398</v>
      </c>
      <c r="G209" s="199">
        <f t="shared" si="65"/>
        <v>202</v>
      </c>
      <c r="H209" s="200">
        <f t="shared" si="55"/>
        <v>196.09120000000007</v>
      </c>
      <c r="I209" s="200">
        <f t="shared" si="66"/>
        <v>-0.51984547420824567</v>
      </c>
      <c r="J209" s="200">
        <f t="shared" si="56"/>
        <v>118.57135452579178</v>
      </c>
      <c r="K209" s="200">
        <f t="shared" si="67"/>
        <v>2.119810391244469</v>
      </c>
      <c r="L209" s="201">
        <f t="shared" si="68"/>
        <v>6.3998596681448934</v>
      </c>
      <c r="M209" s="202">
        <f t="shared" si="69"/>
        <v>0.26666081950603721</v>
      </c>
      <c r="N209" s="203">
        <f t="shared" si="70"/>
        <v>20.447978434090324</v>
      </c>
      <c r="O209" s="200">
        <f t="shared" si="57"/>
        <v>116.76540993108517</v>
      </c>
      <c r="P209" s="200">
        <f t="shared" si="58"/>
        <v>7.7843606620723449</v>
      </c>
      <c r="Q209" s="200">
        <f t="shared" si="59"/>
        <v>4.2156393379276551</v>
      </c>
      <c r="R209" s="200">
        <f t="shared" si="60"/>
        <v>19.784360662072345</v>
      </c>
      <c r="S209" s="204">
        <f t="shared" si="61"/>
        <v>0.25694444444444448</v>
      </c>
      <c r="T209" s="204">
        <f t="shared" si="62"/>
        <v>0.90555555555555556</v>
      </c>
      <c r="U209" s="205" t="str">
        <f t="shared" si="64"/>
        <v>E</v>
      </c>
      <c r="V209" s="272">
        <f t="shared" si="63"/>
        <v>2</v>
      </c>
      <c r="W209" s="207" t="str">
        <f>IF(Introduction!$E$7=1,CONCATENATE("🌞 ➚ ",TEXT(S209,"hh:mm")," ","➘ ",TEXT(T209,"hh:mm")),CONCATENATE("☼ ➚ ",TEXT(S209,"hh:mm")," ","➘ ",TEXT(T209,"hh:mm")))</f>
        <v>🌞 ➚ 06:10 ➘ 21:44</v>
      </c>
    </row>
    <row r="210" spans="6:23" x14ac:dyDescent="0.2">
      <c r="F210" s="198">
        <f t="shared" si="71"/>
        <v>44399</v>
      </c>
      <c r="G210" s="199">
        <f t="shared" si="65"/>
        <v>203</v>
      </c>
      <c r="H210" s="200">
        <f t="shared" si="55"/>
        <v>197.07680000000005</v>
      </c>
      <c r="I210" s="200">
        <f t="shared" si="66"/>
        <v>-0.5508241193350577</v>
      </c>
      <c r="J210" s="200">
        <f t="shared" si="56"/>
        <v>119.52597588066499</v>
      </c>
      <c r="K210" s="200">
        <f t="shared" si="67"/>
        <v>2.1616763397435927</v>
      </c>
      <c r="L210" s="201">
        <f t="shared" si="68"/>
        <v>6.4434088816341397</v>
      </c>
      <c r="M210" s="202">
        <f t="shared" si="69"/>
        <v>0.26847537006808914</v>
      </c>
      <c r="N210" s="203">
        <f t="shared" si="70"/>
        <v>20.251318844259291</v>
      </c>
      <c r="O210" s="200">
        <f t="shared" si="57"/>
        <v>116.47706704918006</v>
      </c>
      <c r="P210" s="200">
        <f t="shared" si="58"/>
        <v>7.7651378032786713</v>
      </c>
      <c r="Q210" s="200">
        <f t="shared" si="59"/>
        <v>4.2348621967213287</v>
      </c>
      <c r="R210" s="200">
        <f t="shared" si="60"/>
        <v>19.76513780327867</v>
      </c>
      <c r="S210" s="204">
        <f t="shared" si="61"/>
        <v>0.25763888888888892</v>
      </c>
      <c r="T210" s="204">
        <f t="shared" si="62"/>
        <v>0.90486111111111101</v>
      </c>
      <c r="U210" s="205" t="str">
        <f t="shared" si="64"/>
        <v>E</v>
      </c>
      <c r="V210" s="272">
        <f t="shared" si="63"/>
        <v>2</v>
      </c>
      <c r="W210" s="207" t="str">
        <f>IF(Introduction!$E$7=1,CONCATENATE("🌞 ➚ ",TEXT(S210,"hh:mm")," ","➘ ",TEXT(T210,"hh:mm")),CONCATENATE("☼ ➚ ",TEXT(S210,"hh:mm")," ","➘ ",TEXT(T210,"hh:mm")))</f>
        <v>🌞 ➚ 06:11 ➘ 21:43</v>
      </c>
    </row>
    <row r="211" spans="6:23" x14ac:dyDescent="0.2">
      <c r="F211" s="198">
        <f t="shared" si="71"/>
        <v>44400</v>
      </c>
      <c r="G211" s="199">
        <f t="shared" si="65"/>
        <v>204</v>
      </c>
      <c r="H211" s="200">
        <f t="shared" si="55"/>
        <v>198.06240000000003</v>
      </c>
      <c r="I211" s="200">
        <f t="shared" si="66"/>
        <v>-0.58164974179659934</v>
      </c>
      <c r="J211" s="200">
        <f t="shared" si="56"/>
        <v>120.48075025820344</v>
      </c>
      <c r="K211" s="200">
        <f t="shared" si="67"/>
        <v>2.200992628663041</v>
      </c>
      <c r="L211" s="201">
        <f t="shared" si="68"/>
        <v>6.4773715474657667</v>
      </c>
      <c r="M211" s="202">
        <f t="shared" si="69"/>
        <v>0.26989048114440695</v>
      </c>
      <c r="N211" s="203">
        <f t="shared" si="70"/>
        <v>20.049014573978305</v>
      </c>
      <c r="O211" s="200">
        <f t="shared" si="57"/>
        <v>116.1819766427228</v>
      </c>
      <c r="P211" s="200">
        <f t="shared" si="58"/>
        <v>7.7454651095148535</v>
      </c>
      <c r="Q211" s="200">
        <f t="shared" si="59"/>
        <v>4.2545348904851465</v>
      </c>
      <c r="R211" s="200">
        <f t="shared" si="60"/>
        <v>19.745465109514853</v>
      </c>
      <c r="S211" s="204">
        <f t="shared" si="61"/>
        <v>0.25833333333333336</v>
      </c>
      <c r="T211" s="204">
        <f t="shared" si="62"/>
        <v>0.90416666666666667</v>
      </c>
      <c r="U211" s="205" t="str">
        <f t="shared" si="64"/>
        <v>E</v>
      </c>
      <c r="V211" s="272">
        <f t="shared" si="63"/>
        <v>2</v>
      </c>
      <c r="W211" s="207" t="str">
        <f>IF(Introduction!$E$7=1,CONCATENATE("🌞 ➚ ",TEXT(S211,"hh:mm")," ","➘ ",TEXT(T211,"hh:mm")),CONCATENATE("☼ ➚ ",TEXT(S211,"hh:mm")," ","➘ ",TEXT(T211,"hh:mm")))</f>
        <v>🌞 ➚ 06:12 ➘ 21:42</v>
      </c>
    </row>
    <row r="212" spans="6:23" x14ac:dyDescent="0.2">
      <c r="F212" s="198">
        <f t="shared" si="71"/>
        <v>44401</v>
      </c>
      <c r="G212" s="199">
        <f t="shared" si="65"/>
        <v>205</v>
      </c>
      <c r="H212" s="200">
        <f t="shared" si="55"/>
        <v>199.048</v>
      </c>
      <c r="I212" s="200">
        <f t="shared" si="66"/>
        <v>-0.61231371969981996</v>
      </c>
      <c r="J212" s="200">
        <f t="shared" si="56"/>
        <v>121.43568628030016</v>
      </c>
      <c r="K212" s="200">
        <f t="shared" si="67"/>
        <v>2.2377205578328336</v>
      </c>
      <c r="L212" s="201">
        <f t="shared" si="68"/>
        <v>6.5016273525320543</v>
      </c>
      <c r="M212" s="202">
        <f t="shared" si="69"/>
        <v>0.27090113968883561</v>
      </c>
      <c r="N212" s="203">
        <f t="shared" si="70"/>
        <v>19.841136362983903</v>
      </c>
      <c r="O212" s="200">
        <f t="shared" si="57"/>
        <v>115.88033963075006</v>
      </c>
      <c r="P212" s="200">
        <f t="shared" si="58"/>
        <v>7.7253559753833372</v>
      </c>
      <c r="Q212" s="200">
        <f t="shared" si="59"/>
        <v>4.2746440246166628</v>
      </c>
      <c r="R212" s="200">
        <f t="shared" si="60"/>
        <v>19.725355975383337</v>
      </c>
      <c r="S212" s="204">
        <f t="shared" si="61"/>
        <v>0.25972222222222224</v>
      </c>
      <c r="T212" s="204">
        <f t="shared" si="62"/>
        <v>0.90347222222222223</v>
      </c>
      <c r="U212" s="205" t="str">
        <f t="shared" si="64"/>
        <v>E</v>
      </c>
      <c r="V212" s="272">
        <f t="shared" si="63"/>
        <v>2</v>
      </c>
      <c r="W212" s="207" t="str">
        <f>IF(Introduction!$E$7=1,CONCATENATE("🌞 ➚ ",TEXT(S212,"hh:mm")," ","➘ ",TEXT(T212,"hh:mm")),CONCATENATE("☼ ➚ ",TEXT(S212,"hh:mm")," ","➘ ",TEXT(T212,"hh:mm")))</f>
        <v>🌞 ➚ 06:14 ➘ 21:41</v>
      </c>
    </row>
    <row r="213" spans="6:23" x14ac:dyDescent="0.2">
      <c r="F213" s="198">
        <f t="shared" si="71"/>
        <v>44402</v>
      </c>
      <c r="G213" s="199">
        <f t="shared" si="65"/>
        <v>206</v>
      </c>
      <c r="H213" s="200">
        <f t="shared" si="55"/>
        <v>200.03359999999998</v>
      </c>
      <c r="I213" s="200">
        <f t="shared" si="66"/>
        <v>-0.64280746659594878</v>
      </c>
      <c r="J213" s="200">
        <f t="shared" si="56"/>
        <v>122.39079253340401</v>
      </c>
      <c r="K213" s="200">
        <f t="shared" si="67"/>
        <v>2.2718248434764736</v>
      </c>
      <c r="L213" s="201">
        <f t="shared" si="68"/>
        <v>6.5160695075220989</v>
      </c>
      <c r="M213" s="202">
        <f t="shared" si="69"/>
        <v>0.2715028961467541</v>
      </c>
      <c r="N213" s="203">
        <f t="shared" si="70"/>
        <v>19.627756208343261</v>
      </c>
      <c r="O213" s="200">
        <f t="shared" si="57"/>
        <v>115.57235572755275</v>
      </c>
      <c r="P213" s="200">
        <f t="shared" si="58"/>
        <v>7.7048237151701828</v>
      </c>
      <c r="Q213" s="200">
        <f t="shared" si="59"/>
        <v>4.2951762848298172</v>
      </c>
      <c r="R213" s="200">
        <f t="shared" si="60"/>
        <v>19.704823715170182</v>
      </c>
      <c r="S213" s="204">
        <f t="shared" si="61"/>
        <v>0.26041666666666669</v>
      </c>
      <c r="T213" s="204">
        <f t="shared" si="62"/>
        <v>0.90208333333333324</v>
      </c>
      <c r="U213" s="205" t="str">
        <f t="shared" si="64"/>
        <v>E</v>
      </c>
      <c r="V213" s="272">
        <f t="shared" si="63"/>
        <v>2</v>
      </c>
      <c r="W213" s="207" t="str">
        <f>IF(Introduction!$E$7=1,CONCATENATE("🌞 ➚ ",TEXT(S213,"hh:mm")," ","➘ ",TEXT(T213,"hh:mm")),CONCATENATE("☼ ➚ ",TEXT(S213,"hh:mm")," ","➘ ",TEXT(T213,"hh:mm")))</f>
        <v>🌞 ➚ 06:15 ➘ 21:39</v>
      </c>
    </row>
    <row r="214" spans="6:23" x14ac:dyDescent="0.2">
      <c r="F214" s="198">
        <f t="shared" si="71"/>
        <v>44403</v>
      </c>
      <c r="G214" s="199">
        <f t="shared" si="65"/>
        <v>207</v>
      </c>
      <c r="H214" s="200">
        <f t="shared" si="55"/>
        <v>201.01919999999996</v>
      </c>
      <c r="I214" s="200">
        <f t="shared" si="66"/>
        <v>-0.6731224334448237</v>
      </c>
      <c r="J214" s="200">
        <f t="shared" si="56"/>
        <v>123.34607756655521</v>
      </c>
      <c r="K214" s="200">
        <f t="shared" si="67"/>
        <v>2.3032736306104828</v>
      </c>
      <c r="L214" s="201">
        <f t="shared" si="68"/>
        <v>6.5206047886626362</v>
      </c>
      <c r="M214" s="202">
        <f t="shared" si="69"/>
        <v>0.27169186619427649</v>
      </c>
      <c r="N214" s="203">
        <f t="shared" si="70"/>
        <v>19.408947303972649</v>
      </c>
      <c r="O214" s="200">
        <f t="shared" si="57"/>
        <v>115.25822310270993</v>
      </c>
      <c r="P214" s="200">
        <f t="shared" si="58"/>
        <v>7.6838815401806624</v>
      </c>
      <c r="Q214" s="200">
        <f t="shared" si="59"/>
        <v>4.3161184598193376</v>
      </c>
      <c r="R214" s="200">
        <f t="shared" si="60"/>
        <v>19.683881540180664</v>
      </c>
      <c r="S214" s="204">
        <f t="shared" si="61"/>
        <v>0.26111111111111113</v>
      </c>
      <c r="T214" s="204">
        <f t="shared" si="62"/>
        <v>0.90138888888888891</v>
      </c>
      <c r="U214" s="205" t="str">
        <f t="shared" si="64"/>
        <v>E</v>
      </c>
      <c r="V214" s="272">
        <f t="shared" si="63"/>
        <v>2</v>
      </c>
      <c r="W214" s="207" t="str">
        <f>IF(Introduction!$E$7=1,CONCATENATE("🌞 ➚ ",TEXT(S214,"hh:mm")," ","➘ ",TEXT(T214,"hh:mm")),CONCATENATE("☼ ➚ ",TEXT(S214,"hh:mm")," ","➘ ",TEXT(T214,"hh:mm")))</f>
        <v>🌞 ➚ 06:16 ➘ 21:38</v>
      </c>
    </row>
    <row r="215" spans="6:23" x14ac:dyDescent="0.2">
      <c r="F215" s="198">
        <f t="shared" si="71"/>
        <v>44404</v>
      </c>
      <c r="G215" s="199">
        <f t="shared" si="65"/>
        <v>208</v>
      </c>
      <c r="H215" s="200">
        <f t="shared" si="55"/>
        <v>202.00480000000005</v>
      </c>
      <c r="I215" s="200">
        <f t="shared" si="66"/>
        <v>-0.70325011058348852</v>
      </c>
      <c r="J215" s="200">
        <f t="shared" si="56"/>
        <v>124.30154988941649</v>
      </c>
      <c r="K215" s="200">
        <f t="shared" si="67"/>
        <v>2.3320384993623779</v>
      </c>
      <c r="L215" s="201">
        <f t="shared" si="68"/>
        <v>6.5151535551155577</v>
      </c>
      <c r="M215" s="202">
        <f t="shared" si="69"/>
        <v>0.27146473146314826</v>
      </c>
      <c r="N215" s="203">
        <f t="shared" si="70"/>
        <v>19.184783981127637</v>
      </c>
      <c r="O215" s="200">
        <f t="shared" si="57"/>
        <v>114.93813806384009</v>
      </c>
      <c r="P215" s="200">
        <f t="shared" si="58"/>
        <v>7.6625425375893395</v>
      </c>
      <c r="Q215" s="200">
        <f t="shared" si="59"/>
        <v>4.3374574624106605</v>
      </c>
      <c r="R215" s="200">
        <f t="shared" si="60"/>
        <v>19.662542537589339</v>
      </c>
      <c r="S215" s="204">
        <f t="shared" si="61"/>
        <v>0.26180555555555557</v>
      </c>
      <c r="T215" s="204">
        <f t="shared" si="62"/>
        <v>0.90069444444444446</v>
      </c>
      <c r="U215" s="205" t="str">
        <f t="shared" si="64"/>
        <v>E</v>
      </c>
      <c r="V215" s="272">
        <f t="shared" si="63"/>
        <v>2</v>
      </c>
      <c r="W215" s="207" t="str">
        <f>IF(Introduction!$E$7=1,CONCATENATE("🌞 ➚ ",TEXT(S215,"hh:mm")," ","➘ ",TEXT(T215,"hh:mm")),CONCATENATE("☼ ➚ ",TEXT(S215,"hh:mm")," ","➘ ",TEXT(T215,"hh:mm")))</f>
        <v>🌞 ➚ 06:17 ➘ 21:37</v>
      </c>
    </row>
    <row r="216" spans="6:23" x14ac:dyDescent="0.2">
      <c r="F216" s="198">
        <f t="shared" si="71"/>
        <v>44405</v>
      </c>
      <c r="G216" s="199">
        <f t="shared" si="65"/>
        <v>209</v>
      </c>
      <c r="H216" s="200">
        <f t="shared" si="55"/>
        <v>202.99040000000002</v>
      </c>
      <c r="I216" s="200">
        <f t="shared" si="66"/>
        <v>-0.73318202969912882</v>
      </c>
      <c r="J216" s="200">
        <f t="shared" si="56"/>
        <v>125.25721797030087</v>
      </c>
      <c r="K216" s="200">
        <f t="shared" si="67"/>
        <v>2.3580944653193132</v>
      </c>
      <c r="L216" s="201">
        <f t="shared" si="68"/>
        <v>6.499649742480738</v>
      </c>
      <c r="M216" s="202">
        <f t="shared" si="69"/>
        <v>0.27081873927003075</v>
      </c>
      <c r="N216" s="203">
        <f t="shared" si="70"/>
        <v>18.955341649985744</v>
      </c>
      <c r="O216" s="200">
        <f t="shared" si="57"/>
        <v>114.61229476213613</v>
      </c>
      <c r="P216" s="200">
        <f t="shared" si="58"/>
        <v>7.6408196508090755</v>
      </c>
      <c r="Q216" s="200">
        <f t="shared" si="59"/>
        <v>4.3591803491909245</v>
      </c>
      <c r="R216" s="200">
        <f t="shared" si="60"/>
        <v>19.640819650809075</v>
      </c>
      <c r="S216" s="204">
        <f t="shared" si="61"/>
        <v>0.26319444444444445</v>
      </c>
      <c r="T216" s="204">
        <f t="shared" si="62"/>
        <v>0.9</v>
      </c>
      <c r="U216" s="205" t="str">
        <f t="shared" si="64"/>
        <v>E</v>
      </c>
      <c r="V216" s="272">
        <f t="shared" si="63"/>
        <v>2</v>
      </c>
      <c r="W216" s="207" t="str">
        <f>IF(Introduction!$E$7=1,CONCATENATE("🌞 ➚ ",TEXT(S216,"hh:mm")," ","➘ ",TEXT(T216,"hh:mm")),CONCATENATE("☼ ➚ ",TEXT(S216,"hh:mm")," ","➘ ",TEXT(T216,"hh:mm")))</f>
        <v>🌞 ➚ 06:19 ➘ 21:36</v>
      </c>
    </row>
    <row r="217" spans="6:23" x14ac:dyDescent="0.2">
      <c r="F217" s="198">
        <f t="shared" si="71"/>
        <v>44406</v>
      </c>
      <c r="G217" s="199">
        <f t="shared" si="65"/>
        <v>210</v>
      </c>
      <c r="H217" s="200">
        <f t="shared" si="55"/>
        <v>203.976</v>
      </c>
      <c r="I217" s="200">
        <f t="shared" si="66"/>
        <v>-0.76290976580646142</v>
      </c>
      <c r="J217" s="200">
        <f t="shared" si="56"/>
        <v>126.21309023419354</v>
      </c>
      <c r="K217" s="200">
        <f t="shared" si="67"/>
        <v>2.3814199740359046</v>
      </c>
      <c r="L217" s="201">
        <f t="shared" si="68"/>
        <v>6.4740408329177725</v>
      </c>
      <c r="M217" s="202">
        <f t="shared" si="69"/>
        <v>0.26975170137157384</v>
      </c>
      <c r="N217" s="203">
        <f t="shared" si="70"/>
        <v>18.720696742434889</v>
      </c>
      <c r="O217" s="200">
        <f t="shared" si="57"/>
        <v>114.28088492060432</v>
      </c>
      <c r="P217" s="200">
        <f t="shared" si="58"/>
        <v>7.6187256613736212</v>
      </c>
      <c r="Q217" s="200">
        <f t="shared" si="59"/>
        <v>4.3812743386263788</v>
      </c>
      <c r="R217" s="200">
        <f t="shared" si="60"/>
        <v>19.61872566137362</v>
      </c>
      <c r="S217" s="204">
        <f t="shared" si="61"/>
        <v>0.2638888888888889</v>
      </c>
      <c r="T217" s="204">
        <f t="shared" si="62"/>
        <v>0.89861111111111114</v>
      </c>
      <c r="U217" s="205" t="str">
        <f t="shared" si="64"/>
        <v>E</v>
      </c>
      <c r="V217" s="272">
        <f t="shared" si="63"/>
        <v>2</v>
      </c>
      <c r="W217" s="207" t="str">
        <f>IF(Introduction!$E$7=1,CONCATENATE("🌞 ➚ ",TEXT(S217,"hh:mm")," ","➘ ",TEXT(T217,"hh:mm")),CONCATENATE("☼ ➚ ",TEXT(S217,"hh:mm")," ","➘ ",TEXT(T217,"hh:mm")))</f>
        <v>🌞 ➚ 06:20 ➘ 21:34</v>
      </c>
    </row>
    <row r="218" spans="6:23" x14ac:dyDescent="0.2">
      <c r="F218" s="198">
        <f t="shared" si="71"/>
        <v>44407</v>
      </c>
      <c r="G218" s="199">
        <f t="shared" si="65"/>
        <v>211</v>
      </c>
      <c r="H218" s="200">
        <f t="shared" si="55"/>
        <v>204.96159999999998</v>
      </c>
      <c r="I218" s="200">
        <f t="shared" si="66"/>
        <v>-0.79242493922953994</v>
      </c>
      <c r="J218" s="200">
        <f t="shared" si="56"/>
        <v>127.1691750607705</v>
      </c>
      <c r="K218" s="200">
        <f t="shared" si="67"/>
        <v>2.4019968898458037</v>
      </c>
      <c r="L218" s="201">
        <f t="shared" si="68"/>
        <v>6.4382878024650552</v>
      </c>
      <c r="M218" s="202">
        <f t="shared" si="69"/>
        <v>0.26826199176937732</v>
      </c>
      <c r="N218" s="203">
        <f t="shared" si="70"/>
        <v>18.480926656171857</v>
      </c>
      <c r="O218" s="200">
        <f t="shared" si="57"/>
        <v>113.94409758479482</v>
      </c>
      <c r="P218" s="200">
        <f t="shared" si="58"/>
        <v>7.5962731723196546</v>
      </c>
      <c r="Q218" s="200">
        <f t="shared" si="59"/>
        <v>4.4037268276803454</v>
      </c>
      <c r="R218" s="200">
        <f t="shared" si="60"/>
        <v>19.596273172319655</v>
      </c>
      <c r="S218" s="204">
        <f t="shared" si="61"/>
        <v>0.26458333333333334</v>
      </c>
      <c r="T218" s="204">
        <f t="shared" si="62"/>
        <v>0.8979166666666667</v>
      </c>
      <c r="U218" s="205" t="str">
        <f t="shared" si="64"/>
        <v>E</v>
      </c>
      <c r="V218" s="272">
        <f t="shared" si="63"/>
        <v>2</v>
      </c>
      <c r="W218" s="207" t="str">
        <f>IF(Introduction!$E$7=1,CONCATENATE("🌞 ➚ ",TEXT(S218,"hh:mm")," ","➘ ",TEXT(T218,"hh:mm")),CONCATENATE("☼ ➚ ",TEXT(S218,"hh:mm")," ","➘ ",TEXT(T218,"hh:mm")))</f>
        <v>🌞 ➚ 06:21 ➘ 21:33</v>
      </c>
    </row>
    <row r="219" spans="6:23" x14ac:dyDescent="0.2">
      <c r="F219" s="198">
        <f t="shared" si="71"/>
        <v>44408</v>
      </c>
      <c r="G219" s="199">
        <f t="shared" si="65"/>
        <v>212</v>
      </c>
      <c r="H219" s="200">
        <f t="shared" si="55"/>
        <v>205.94720000000007</v>
      </c>
      <c r="I219" s="200">
        <f t="shared" si="66"/>
        <v>-0.82171921758805511</v>
      </c>
      <c r="J219" s="200">
        <f t="shared" si="56"/>
        <v>128.12548078241196</v>
      </c>
      <c r="K219" s="200">
        <f t="shared" si="67"/>
        <v>2.4198104791366188</v>
      </c>
      <c r="L219" s="201">
        <f t="shared" si="68"/>
        <v>6.3923650461942554</v>
      </c>
      <c r="M219" s="202">
        <f t="shared" si="69"/>
        <v>0.26634854359142729</v>
      </c>
      <c r="N219" s="203">
        <f t="shared" si="70"/>
        <v>18.236109700207685</v>
      </c>
      <c r="O219" s="200">
        <f t="shared" si="57"/>
        <v>113.60211889569172</v>
      </c>
      <c r="P219" s="200">
        <f t="shared" si="58"/>
        <v>7.5734745930461145</v>
      </c>
      <c r="Q219" s="200">
        <f t="shared" si="59"/>
        <v>4.4265254069538855</v>
      </c>
      <c r="R219" s="200">
        <f t="shared" si="60"/>
        <v>19.573474593046114</v>
      </c>
      <c r="S219" s="204">
        <f t="shared" si="61"/>
        <v>0.26597222222222222</v>
      </c>
      <c r="T219" s="204">
        <f t="shared" si="62"/>
        <v>0.8965277777777777</v>
      </c>
      <c r="U219" s="205" t="str">
        <f t="shared" si="64"/>
        <v>E</v>
      </c>
      <c r="V219" s="272">
        <f t="shared" si="63"/>
        <v>2</v>
      </c>
      <c r="W219" s="207" t="str">
        <f>IF(Introduction!$E$7=1,CONCATENATE("🌞 ➚ ",TEXT(S219,"hh:mm")," ","➘ ",TEXT(T219,"hh:mm")),CONCATENATE("☼ ➚ ",TEXT(S219,"hh:mm")," ","➘ ",TEXT(T219,"hh:mm")))</f>
        <v>🌞 ➚ 06:23 ➘ 21:31</v>
      </c>
    </row>
    <row r="220" spans="6:23" x14ac:dyDescent="0.2">
      <c r="F220" s="198">
        <f t="shared" si="71"/>
        <v>44409</v>
      </c>
      <c r="G220" s="199">
        <f t="shared" si="65"/>
        <v>213</v>
      </c>
      <c r="H220" s="200">
        <f t="shared" si="55"/>
        <v>206.93280000000004</v>
      </c>
      <c r="I220" s="200">
        <f t="shared" si="66"/>
        <v>-0.85078431778809294</v>
      </c>
      <c r="J220" s="200">
        <f t="shared" si="56"/>
        <v>129.08201568221193</v>
      </c>
      <c r="K220" s="200">
        <f t="shared" si="67"/>
        <v>2.4348493882623838</v>
      </c>
      <c r="L220" s="201">
        <f t="shared" si="68"/>
        <v>6.3362602818971636</v>
      </c>
      <c r="M220" s="202">
        <f t="shared" si="69"/>
        <v>0.26401084507904848</v>
      </c>
      <c r="N220" s="203">
        <f t="shared" si="70"/>
        <v>17.986325041867786</v>
      </c>
      <c r="O220" s="200">
        <f t="shared" si="57"/>
        <v>113.25513188432633</v>
      </c>
      <c r="P220" s="200">
        <f t="shared" si="58"/>
        <v>7.5503421256217553</v>
      </c>
      <c r="Q220" s="200">
        <f t="shared" si="59"/>
        <v>4.4496578743782447</v>
      </c>
      <c r="R220" s="200">
        <f t="shared" si="60"/>
        <v>19.550342125621754</v>
      </c>
      <c r="S220" s="204">
        <f t="shared" si="61"/>
        <v>0.26666666666666666</v>
      </c>
      <c r="T220" s="204">
        <f t="shared" si="62"/>
        <v>0.89583333333333337</v>
      </c>
      <c r="U220" s="205" t="str">
        <f t="shared" si="64"/>
        <v>E</v>
      </c>
      <c r="V220" s="272">
        <f t="shared" si="63"/>
        <v>2</v>
      </c>
      <c r="W220" s="207" t="str">
        <f>IF(Introduction!$E$7=1,CONCATENATE("🌞 ➚ ",TEXT(S220,"hh:mm")," ","➘ ",TEXT(T220,"hh:mm")),CONCATENATE("☼ ➚ ",TEXT(S220,"hh:mm")," ","➘ ",TEXT(T220,"hh:mm")))</f>
        <v>🌞 ➚ 06:24 ➘ 21:30</v>
      </c>
    </row>
    <row r="221" spans="6:23" x14ac:dyDescent="0.2">
      <c r="F221" s="198">
        <f t="shared" si="71"/>
        <v>44410</v>
      </c>
      <c r="G221" s="199">
        <f t="shared" si="65"/>
        <v>214</v>
      </c>
      <c r="H221" s="200">
        <f t="shared" si="55"/>
        <v>207.91840000000002</v>
      </c>
      <c r="I221" s="200">
        <f t="shared" si="66"/>
        <v>-0.87961200801735462</v>
      </c>
      <c r="J221" s="200">
        <f t="shared" si="56"/>
        <v>130.03878799198264</v>
      </c>
      <c r="K221" s="200">
        <f t="shared" si="67"/>
        <v>2.4471056162814468</v>
      </c>
      <c r="L221" s="201">
        <f t="shared" si="68"/>
        <v>6.2699744330563689</v>
      </c>
      <c r="M221" s="202">
        <f t="shared" si="69"/>
        <v>0.26124893471068206</v>
      </c>
      <c r="N221" s="203">
        <f t="shared" si="70"/>
        <v>17.731652655367231</v>
      </c>
      <c r="O221" s="200">
        <f t="shared" si="57"/>
        <v>112.90331628758452</v>
      </c>
      <c r="P221" s="200">
        <f t="shared" si="58"/>
        <v>7.5268877525056341</v>
      </c>
      <c r="Q221" s="200">
        <f t="shared" si="59"/>
        <v>4.4731122474943659</v>
      </c>
      <c r="R221" s="200">
        <f t="shared" si="60"/>
        <v>19.526887752505633</v>
      </c>
      <c r="S221" s="204">
        <f t="shared" si="61"/>
        <v>0.2673611111111111</v>
      </c>
      <c r="T221" s="204">
        <f t="shared" si="62"/>
        <v>0.89444444444444438</v>
      </c>
      <c r="U221" s="205" t="str">
        <f t="shared" si="64"/>
        <v>E</v>
      </c>
      <c r="V221" s="272">
        <f t="shared" si="63"/>
        <v>2</v>
      </c>
      <c r="W221" s="207" t="str">
        <f>IF(Introduction!$E$7=1,CONCATENATE("🌞 ➚ ",TEXT(S221,"hh:mm")," ","➘ ",TEXT(T221,"hh:mm")),CONCATENATE("☼ ➚ ",TEXT(S221,"hh:mm")," ","➘ ",TEXT(T221,"hh:mm")))</f>
        <v>🌞 ➚ 06:25 ➘ 21:28</v>
      </c>
    </row>
    <row r="222" spans="6:23" x14ac:dyDescent="0.2">
      <c r="F222" s="198">
        <f t="shared" si="71"/>
        <v>44411</v>
      </c>
      <c r="G222" s="199">
        <f t="shared" si="65"/>
        <v>215</v>
      </c>
      <c r="H222" s="200">
        <f t="shared" si="55"/>
        <v>208.904</v>
      </c>
      <c r="I222" s="200">
        <f t="shared" si="66"/>
        <v>-0.90819410974475101</v>
      </c>
      <c r="J222" s="200">
        <f t="shared" si="56"/>
        <v>130.99580589025527</v>
      </c>
      <c r="K222" s="200">
        <f t="shared" si="67"/>
        <v>2.4565744827206233</v>
      </c>
      <c r="L222" s="201">
        <f t="shared" si="68"/>
        <v>6.1935214919034891</v>
      </c>
      <c r="M222" s="202">
        <f t="shared" si="69"/>
        <v>0.25806339549597873</v>
      </c>
      <c r="N222" s="203">
        <f t="shared" si="70"/>
        <v>17.472173272032538</v>
      </c>
      <c r="O222" s="200">
        <f t="shared" si="57"/>
        <v>112.54684838459931</v>
      </c>
      <c r="P222" s="200">
        <f t="shared" si="58"/>
        <v>7.5031232256399543</v>
      </c>
      <c r="Q222" s="200">
        <f t="shared" si="59"/>
        <v>4.4968767743600457</v>
      </c>
      <c r="R222" s="200">
        <f t="shared" si="60"/>
        <v>19.503123225639953</v>
      </c>
      <c r="S222" s="204">
        <f t="shared" si="61"/>
        <v>0.26874999999999999</v>
      </c>
      <c r="T222" s="204">
        <f t="shared" si="62"/>
        <v>0.89374999999999993</v>
      </c>
      <c r="U222" s="205" t="str">
        <f t="shared" si="64"/>
        <v>E</v>
      </c>
      <c r="V222" s="272">
        <f t="shared" si="63"/>
        <v>2</v>
      </c>
      <c r="W222" s="207" t="str">
        <f>IF(Introduction!$E$7=1,CONCATENATE("🌞 ➚ ",TEXT(S222,"hh:mm")," ","➘ ",TEXT(T222,"hh:mm")),CONCATENATE("☼ ➚ ",TEXT(S222,"hh:mm")," ","➘ ",TEXT(T222,"hh:mm")))</f>
        <v>🌞 ➚ 06:27 ➘ 21:27</v>
      </c>
    </row>
    <row r="223" spans="6:23" x14ac:dyDescent="0.2">
      <c r="F223" s="198">
        <f t="shared" si="71"/>
        <v>44412</v>
      </c>
      <c r="G223" s="199">
        <f t="shared" si="65"/>
        <v>216</v>
      </c>
      <c r="H223" s="200">
        <f t="shared" si="55"/>
        <v>209.88959999999997</v>
      </c>
      <c r="I223" s="200">
        <f t="shared" si="66"/>
        <v>-0.93652249972431867</v>
      </c>
      <c r="J223" s="200">
        <f t="shared" si="56"/>
        <v>131.95307750027564</v>
      </c>
      <c r="K223" s="200">
        <f t="shared" si="67"/>
        <v>2.4632545905784893</v>
      </c>
      <c r="L223" s="201">
        <f t="shared" si="68"/>
        <v>6.1069283634166824</v>
      </c>
      <c r="M223" s="202">
        <f t="shared" si="69"/>
        <v>0.25445534847569512</v>
      </c>
      <c r="N223" s="203">
        <f t="shared" si="70"/>
        <v>17.207968332234358</v>
      </c>
      <c r="O223" s="200">
        <f t="shared" si="57"/>
        <v>112.18590085305435</v>
      </c>
      <c r="P223" s="200">
        <f t="shared" si="58"/>
        <v>7.4790600568702903</v>
      </c>
      <c r="Q223" s="200">
        <f t="shared" si="59"/>
        <v>4.5209399431297097</v>
      </c>
      <c r="R223" s="200">
        <f t="shared" si="60"/>
        <v>19.479060056870289</v>
      </c>
      <c r="S223" s="204">
        <f t="shared" si="61"/>
        <v>0.26944444444444443</v>
      </c>
      <c r="T223" s="204">
        <f t="shared" si="62"/>
        <v>0.89236111111111116</v>
      </c>
      <c r="U223" s="205" t="str">
        <f t="shared" si="64"/>
        <v>E</v>
      </c>
      <c r="V223" s="272">
        <f t="shared" si="63"/>
        <v>2</v>
      </c>
      <c r="W223" s="207" t="str">
        <f>IF(Introduction!$E$7=1,CONCATENATE("🌞 ➚ ",TEXT(S223,"hh:mm")," ","➘ ",TEXT(T223,"hh:mm")),CONCATENATE("☼ ➚ ",TEXT(S223,"hh:mm")," ","➘ ",TEXT(T223,"hh:mm")))</f>
        <v>🌞 ➚ 06:28 ➘ 21:25</v>
      </c>
    </row>
    <row r="224" spans="6:23" x14ac:dyDescent="0.2">
      <c r="F224" s="198">
        <f t="shared" si="71"/>
        <v>44413</v>
      </c>
      <c r="G224" s="199">
        <f t="shared" si="65"/>
        <v>217</v>
      </c>
      <c r="H224" s="200">
        <f t="shared" si="55"/>
        <v>210.87519999999995</v>
      </c>
      <c r="I224" s="200">
        <f t="shared" si="66"/>
        <v>-0.96458911200335429</v>
      </c>
      <c r="J224" s="200">
        <f t="shared" si="56"/>
        <v>132.91061088799665</v>
      </c>
      <c r="K224" s="200">
        <f t="shared" si="67"/>
        <v>2.4671477847918899</v>
      </c>
      <c r="L224" s="201">
        <f t="shared" si="68"/>
        <v>6.0102346911541424</v>
      </c>
      <c r="M224" s="202">
        <f t="shared" si="69"/>
        <v>0.25042644546475595</v>
      </c>
      <c r="N224" s="203">
        <f t="shared" si="70"/>
        <v>16.939119939086382</v>
      </c>
      <c r="O224" s="200">
        <f t="shared" si="57"/>
        <v>111.82064264466692</v>
      </c>
      <c r="P224" s="200">
        <f t="shared" si="58"/>
        <v>7.4547095096444611</v>
      </c>
      <c r="Q224" s="200">
        <f t="shared" si="59"/>
        <v>4.5452904903555389</v>
      </c>
      <c r="R224" s="200">
        <f t="shared" si="60"/>
        <v>19.454709509644459</v>
      </c>
      <c r="S224" s="204">
        <f t="shared" si="61"/>
        <v>0.27013888888888887</v>
      </c>
      <c r="T224" s="204">
        <f t="shared" si="62"/>
        <v>0.89166666666666661</v>
      </c>
      <c r="U224" s="205" t="str">
        <f t="shared" si="64"/>
        <v>E</v>
      </c>
      <c r="V224" s="272">
        <f t="shared" si="63"/>
        <v>2</v>
      </c>
      <c r="W224" s="207" t="str">
        <f>IF(Introduction!$E$7=1,CONCATENATE("🌞 ➚ ",TEXT(S224,"hh:mm")," ","➘ ",TEXT(T224,"hh:mm")),CONCATENATE("☼ ➚ ",TEXT(S224,"hh:mm")," ","➘ ",TEXT(T224,"hh:mm")))</f>
        <v>🌞 ➚ 06:29 ➘ 21:24</v>
      </c>
    </row>
    <row r="225" spans="6:23" x14ac:dyDescent="0.2">
      <c r="F225" s="198">
        <f t="shared" si="71"/>
        <v>44414</v>
      </c>
      <c r="G225" s="199">
        <f t="shared" si="65"/>
        <v>218</v>
      </c>
      <c r="H225" s="200">
        <f t="shared" si="55"/>
        <v>211.86080000000004</v>
      </c>
      <c r="I225" s="200">
        <f t="shared" si="66"/>
        <v>-0.99238593993463742</v>
      </c>
      <c r="J225" s="200">
        <f t="shared" si="56"/>
        <v>133.86841406006533</v>
      </c>
      <c r="K225" s="200">
        <f t="shared" si="67"/>
        <v>2.4682591063999268</v>
      </c>
      <c r="L225" s="201">
        <f t="shared" si="68"/>
        <v>5.9034926658611582</v>
      </c>
      <c r="M225" s="202">
        <f t="shared" si="69"/>
        <v>0.24597886107754827</v>
      </c>
      <c r="N225" s="203">
        <f t="shared" si="70"/>
        <v>16.665710813959453</v>
      </c>
      <c r="O225" s="200">
        <f t="shared" si="57"/>
        <v>111.4512388790766</v>
      </c>
      <c r="P225" s="200">
        <f t="shared" si="58"/>
        <v>7.4300825919384401</v>
      </c>
      <c r="Q225" s="200">
        <f t="shared" si="59"/>
        <v>4.5699174080615599</v>
      </c>
      <c r="R225" s="200">
        <f t="shared" si="60"/>
        <v>19.43008259193844</v>
      </c>
      <c r="S225" s="204">
        <f t="shared" si="61"/>
        <v>0.27152777777777776</v>
      </c>
      <c r="T225" s="204">
        <f t="shared" si="62"/>
        <v>0.89027777777777783</v>
      </c>
      <c r="U225" s="205" t="str">
        <f t="shared" si="64"/>
        <v>E</v>
      </c>
      <c r="V225" s="272">
        <f t="shared" si="63"/>
        <v>2</v>
      </c>
      <c r="W225" s="207" t="str">
        <f>IF(Introduction!$E$7=1,CONCATENATE("🌞 ➚ ",TEXT(S225,"hh:mm")," ","➘ ",TEXT(T225,"hh:mm")),CONCATENATE("☼ ➚ ",TEXT(S225,"hh:mm")," ","➘ ",TEXT(T225,"hh:mm")))</f>
        <v>🌞 ➚ 06:31 ➘ 21:22</v>
      </c>
    </row>
    <row r="226" spans="6:23" x14ac:dyDescent="0.2">
      <c r="F226" s="198">
        <f t="shared" si="71"/>
        <v>44415</v>
      </c>
      <c r="G226" s="199">
        <f t="shared" si="65"/>
        <v>219</v>
      </c>
      <c r="H226" s="200">
        <f t="shared" si="55"/>
        <v>212.84640000000002</v>
      </c>
      <c r="I226" s="200">
        <f t="shared" si="66"/>
        <v>-1.0199050381925843</v>
      </c>
      <c r="J226" s="200">
        <f t="shared" si="56"/>
        <v>134.82649496180744</v>
      </c>
      <c r="K226" s="200">
        <f t="shared" si="67"/>
        <v>2.4665967426489543</v>
      </c>
      <c r="L226" s="201">
        <f t="shared" si="68"/>
        <v>5.7867668178254803</v>
      </c>
      <c r="M226" s="202">
        <f t="shared" si="69"/>
        <v>0.24111528407606167</v>
      </c>
      <c r="N226" s="203">
        <f t="shared" si="70"/>
        <v>16.387824253850923</v>
      </c>
      <c r="O226" s="200">
        <f t="shared" si="57"/>
        <v>111.07785075532951</v>
      </c>
      <c r="P226" s="200">
        <f t="shared" si="58"/>
        <v>7.4051900503553005</v>
      </c>
      <c r="Q226" s="200">
        <f t="shared" si="59"/>
        <v>4.5948099496446995</v>
      </c>
      <c r="R226" s="200">
        <f t="shared" si="60"/>
        <v>19.405190050355301</v>
      </c>
      <c r="S226" s="204">
        <f t="shared" si="61"/>
        <v>0.2722222222222222</v>
      </c>
      <c r="T226" s="204">
        <f t="shared" si="62"/>
        <v>0.88958333333333339</v>
      </c>
      <c r="U226" s="205" t="str">
        <f t="shared" si="64"/>
        <v>E</v>
      </c>
      <c r="V226" s="272">
        <f t="shared" si="63"/>
        <v>2</v>
      </c>
      <c r="W226" s="207" t="str">
        <f>IF(Introduction!$E$7=1,CONCATENATE("🌞 ➚ ",TEXT(S226,"hh:mm")," ","➘ ",TEXT(T226,"hh:mm")),CONCATENATE("☼ ➚ ",TEXT(S226,"hh:mm")," ","➘ ",TEXT(T226,"hh:mm")))</f>
        <v>🌞 ➚ 06:32 ➘ 21:21</v>
      </c>
    </row>
    <row r="227" spans="6:23" x14ac:dyDescent="0.2">
      <c r="F227" s="198">
        <f t="shared" si="71"/>
        <v>44416</v>
      </c>
      <c r="G227" s="199">
        <f t="shared" si="65"/>
        <v>220</v>
      </c>
      <c r="H227" s="200">
        <f t="shared" si="55"/>
        <v>213.83199999999999</v>
      </c>
      <c r="I227" s="200">
        <f t="shared" si="66"/>
        <v>-1.0471385247931788</v>
      </c>
      <c r="J227" s="200">
        <f t="shared" si="56"/>
        <v>135.78486147520681</v>
      </c>
      <c r="K227" s="200">
        <f t="shared" si="67"/>
        <v>2.4621719732903191</v>
      </c>
      <c r="L227" s="201">
        <f t="shared" si="68"/>
        <v>5.6601337939885612</v>
      </c>
      <c r="M227" s="202">
        <f t="shared" si="69"/>
        <v>0.23583890808285671</v>
      </c>
      <c r="N227" s="203">
        <f t="shared" si="70"/>
        <v>16.105544090643658</v>
      </c>
      <c r="O227" s="200">
        <f t="shared" si="57"/>
        <v>110.70063548012645</v>
      </c>
      <c r="P227" s="200">
        <f t="shared" si="58"/>
        <v>7.3800423653417635</v>
      </c>
      <c r="Q227" s="200">
        <f t="shared" si="59"/>
        <v>4.6199576346582365</v>
      </c>
      <c r="R227" s="200">
        <f t="shared" si="60"/>
        <v>19.380042365341765</v>
      </c>
      <c r="S227" s="204">
        <f t="shared" si="61"/>
        <v>0.27291666666666664</v>
      </c>
      <c r="T227" s="204">
        <f t="shared" si="62"/>
        <v>0.8881944444444444</v>
      </c>
      <c r="U227" s="205" t="str">
        <f t="shared" si="64"/>
        <v>E</v>
      </c>
      <c r="V227" s="272">
        <f t="shared" si="63"/>
        <v>2</v>
      </c>
      <c r="W227" s="207" t="str">
        <f>IF(Introduction!$E$7=1,CONCATENATE("🌞 ➚ ",TEXT(S227,"hh:mm")," ","➘ ",TEXT(T227,"hh:mm")),CONCATENATE("☼ ➚ ",TEXT(S227,"hh:mm")," ","➘ ",TEXT(T227,"hh:mm")))</f>
        <v>🌞 ➚ 06:33 ➘ 21:19</v>
      </c>
    </row>
    <row r="228" spans="6:23" x14ac:dyDescent="0.2">
      <c r="F228" s="198">
        <f t="shared" si="71"/>
        <v>44417</v>
      </c>
      <c r="G228" s="199">
        <f t="shared" si="65"/>
        <v>221</v>
      </c>
      <c r="H228" s="200">
        <f t="shared" si="55"/>
        <v>214.81759999999997</v>
      </c>
      <c r="I228" s="200">
        <f t="shared" si="66"/>
        <v>-1.0740785831174386</v>
      </c>
      <c r="J228" s="200">
        <f t="shared" si="56"/>
        <v>136.74352141688257</v>
      </c>
      <c r="K228" s="200">
        <f t="shared" si="67"/>
        <v>2.4549991133297415</v>
      </c>
      <c r="L228" s="201">
        <f t="shared" si="68"/>
        <v>5.5236821208492115</v>
      </c>
      <c r="M228" s="202">
        <f t="shared" si="69"/>
        <v>0.23015342170205047</v>
      </c>
      <c r="N228" s="203">
        <f t="shared" si="70"/>
        <v>15.818954652280553</v>
      </c>
      <c r="O228" s="200">
        <f t="shared" si="57"/>
        <v>110.31974621198391</v>
      </c>
      <c r="P228" s="200">
        <f t="shared" si="58"/>
        <v>7.3546497474655945</v>
      </c>
      <c r="Q228" s="200">
        <f t="shared" si="59"/>
        <v>4.6453502525344055</v>
      </c>
      <c r="R228" s="200">
        <f t="shared" si="60"/>
        <v>19.354649747465594</v>
      </c>
      <c r="S228" s="204">
        <f t="shared" si="61"/>
        <v>0.27430555555555552</v>
      </c>
      <c r="T228" s="204">
        <f t="shared" si="62"/>
        <v>0.88680555555555562</v>
      </c>
      <c r="U228" s="205" t="str">
        <f t="shared" si="64"/>
        <v>E</v>
      </c>
      <c r="V228" s="272">
        <f t="shared" si="63"/>
        <v>2</v>
      </c>
      <c r="W228" s="207" t="str">
        <f>IF(Introduction!$E$7=1,CONCATENATE("🌞 ➚ ",TEXT(S228,"hh:mm")," ","➘ ",TEXT(T228,"hh:mm")),CONCATENATE("☼ ➚ ",TEXT(S228,"hh:mm")," ","➘ ",TEXT(T228,"hh:mm")))</f>
        <v>🌞 ➚ 06:35 ➘ 21:17</v>
      </c>
    </row>
    <row r="229" spans="6:23" x14ac:dyDescent="0.2">
      <c r="F229" s="198">
        <f t="shared" si="71"/>
        <v>44418</v>
      </c>
      <c r="G229" s="199">
        <f t="shared" si="65"/>
        <v>222</v>
      </c>
      <c r="H229" s="200">
        <f t="shared" si="55"/>
        <v>215.80320000000006</v>
      </c>
      <c r="I229" s="200">
        <f t="shared" si="66"/>
        <v>-1.1007174639382105</v>
      </c>
      <c r="J229" s="200">
        <f t="shared" si="56"/>
        <v>137.70248253606178</v>
      </c>
      <c r="K229" s="200">
        <f t="shared" si="67"/>
        <v>2.4450954524933315</v>
      </c>
      <c r="L229" s="201">
        <f t="shared" si="68"/>
        <v>5.3775119542204841</v>
      </c>
      <c r="M229" s="202">
        <f t="shared" si="69"/>
        <v>0.22406299809252017</v>
      </c>
      <c r="N229" s="203">
        <f t="shared" si="70"/>
        <v>15.52814072587524</v>
      </c>
      <c r="O229" s="200">
        <f t="shared" si="57"/>
        <v>109.93533202045207</v>
      </c>
      <c r="P229" s="200">
        <f t="shared" si="58"/>
        <v>7.3290221346968041</v>
      </c>
      <c r="Q229" s="200">
        <f t="shared" si="59"/>
        <v>4.6709778653031959</v>
      </c>
      <c r="R229" s="200">
        <f t="shared" si="60"/>
        <v>19.329022134696803</v>
      </c>
      <c r="S229" s="204">
        <f t="shared" si="61"/>
        <v>0.27499999999999997</v>
      </c>
      <c r="T229" s="204">
        <f t="shared" si="62"/>
        <v>0.88611111111111107</v>
      </c>
      <c r="U229" s="205" t="str">
        <f t="shared" si="64"/>
        <v>E</v>
      </c>
      <c r="V229" s="272">
        <f t="shared" si="63"/>
        <v>2</v>
      </c>
      <c r="W229" s="207" t="str">
        <f>IF(Introduction!$E$7=1,CONCATENATE("🌞 ➚ ",TEXT(S229,"hh:mm")," ","➘ ",TEXT(T229,"hh:mm")),CONCATENATE("☼ ➚ ",TEXT(S229,"hh:mm")," ","➘ ",TEXT(T229,"hh:mm")))</f>
        <v>🌞 ➚ 06:36 ➘ 21:16</v>
      </c>
    </row>
    <row r="230" spans="6:23" x14ac:dyDescent="0.2">
      <c r="F230" s="198">
        <f t="shared" si="71"/>
        <v>44419</v>
      </c>
      <c r="G230" s="199">
        <f t="shared" si="65"/>
        <v>223</v>
      </c>
      <c r="H230" s="200">
        <f t="shared" si="55"/>
        <v>216.78880000000004</v>
      </c>
      <c r="I230" s="200">
        <f t="shared" si="66"/>
        <v>-1.1270474874500094</v>
      </c>
      <c r="J230" s="200">
        <f t="shared" si="56"/>
        <v>138.66175251255004</v>
      </c>
      <c r="K230" s="200">
        <f t="shared" si="67"/>
        <v>2.4324811916802038</v>
      </c>
      <c r="L230" s="201">
        <f t="shared" si="68"/>
        <v>5.2217348169207778</v>
      </c>
      <c r="M230" s="202">
        <f t="shared" si="69"/>
        <v>0.21757228403836573</v>
      </c>
      <c r="N230" s="203">
        <f t="shared" si="70"/>
        <v>15.233187522771919</v>
      </c>
      <c r="O230" s="200">
        <f t="shared" si="57"/>
        <v>109.54753785953022</v>
      </c>
      <c r="P230" s="200">
        <f t="shared" si="58"/>
        <v>7.303169190635348</v>
      </c>
      <c r="Q230" s="200">
        <f t="shared" si="59"/>
        <v>4.696830809364652</v>
      </c>
      <c r="R230" s="200">
        <f t="shared" si="60"/>
        <v>19.303169190635348</v>
      </c>
      <c r="S230" s="204">
        <f t="shared" si="61"/>
        <v>0.27638888888888885</v>
      </c>
      <c r="T230" s="204">
        <f t="shared" si="62"/>
        <v>0.8847222222222223</v>
      </c>
      <c r="U230" s="205" t="str">
        <f t="shared" si="64"/>
        <v>E</v>
      </c>
      <c r="V230" s="272">
        <f t="shared" si="63"/>
        <v>2</v>
      </c>
      <c r="W230" s="207" t="str">
        <f>IF(Introduction!$E$7=1,CONCATENATE("🌞 ➚ ",TEXT(S230,"hh:mm")," ","➘ ",TEXT(T230,"hh:mm")),CONCATENATE("☼ ➚ ",TEXT(S230,"hh:mm")," ","➘ ",TEXT(T230,"hh:mm")))</f>
        <v>🌞 ➚ 06:38 ➘ 21:14</v>
      </c>
    </row>
    <row r="231" spans="6:23" x14ac:dyDescent="0.2">
      <c r="F231" s="198">
        <f t="shared" si="71"/>
        <v>44420</v>
      </c>
      <c r="G231" s="199">
        <f t="shared" si="65"/>
        <v>224</v>
      </c>
      <c r="H231" s="200">
        <f t="shared" si="55"/>
        <v>217.77440000000001</v>
      </c>
      <c r="I231" s="200">
        <f t="shared" si="66"/>
        <v>-1.1530610453016576</v>
      </c>
      <c r="J231" s="200">
        <f t="shared" si="56"/>
        <v>139.62133895469833</v>
      </c>
      <c r="K231" s="200">
        <f t="shared" si="67"/>
        <v>2.4171793766755312</v>
      </c>
      <c r="L231" s="201">
        <f t="shared" si="68"/>
        <v>5.0564733254954941</v>
      </c>
      <c r="M231" s="202">
        <f t="shared" si="69"/>
        <v>0.21068638856231225</v>
      </c>
      <c r="N231" s="203">
        <f t="shared" si="70"/>
        <v>14.934180645562462</v>
      </c>
      <c r="O231" s="200">
        <f t="shared" si="57"/>
        <v>109.15650455442784</v>
      </c>
      <c r="P231" s="200">
        <f t="shared" si="58"/>
        <v>7.2771003036285231</v>
      </c>
      <c r="Q231" s="200">
        <f t="shared" si="59"/>
        <v>4.7228996963714769</v>
      </c>
      <c r="R231" s="200">
        <f t="shared" si="60"/>
        <v>19.277100303628522</v>
      </c>
      <c r="S231" s="204">
        <f t="shared" si="61"/>
        <v>0.27708333333333335</v>
      </c>
      <c r="T231" s="204">
        <f t="shared" si="62"/>
        <v>0.8833333333333333</v>
      </c>
      <c r="U231" s="205" t="str">
        <f t="shared" si="64"/>
        <v>E</v>
      </c>
      <c r="V231" s="272">
        <f t="shared" si="63"/>
        <v>2</v>
      </c>
      <c r="W231" s="207" t="str">
        <f>IF(Introduction!$E$7=1,CONCATENATE("🌞 ➚ ",TEXT(S231,"hh:mm")," ","➘ ",TEXT(T231,"hh:mm")),CONCATENATE("☼ ➚ ",TEXT(S231,"hh:mm")," ","➘ ",TEXT(T231,"hh:mm")))</f>
        <v>🌞 ➚ 06:39 ➘ 21:12</v>
      </c>
    </row>
    <row r="232" spans="6:23" x14ac:dyDescent="0.2">
      <c r="F232" s="198">
        <f t="shared" si="71"/>
        <v>44421</v>
      </c>
      <c r="G232" s="199">
        <f t="shared" si="65"/>
        <v>225</v>
      </c>
      <c r="H232" s="200">
        <f t="shared" si="55"/>
        <v>218.76</v>
      </c>
      <c r="I232" s="200">
        <f t="shared" si="66"/>
        <v>-1.1787506026313479</v>
      </c>
      <c r="J232" s="200">
        <f t="shared" si="56"/>
        <v>140.58124939736865</v>
      </c>
      <c r="K232" s="200">
        <f t="shared" si="67"/>
        <v>2.3992158294005401</v>
      </c>
      <c r="L232" s="201">
        <f t="shared" si="68"/>
        <v>4.8818609070767689</v>
      </c>
      <c r="M232" s="202">
        <f t="shared" si="69"/>
        <v>0.20341087112819869</v>
      </c>
      <c r="N232" s="203">
        <f t="shared" si="70"/>
        <v>14.631206057061904</v>
      </c>
      <c r="O232" s="200">
        <f t="shared" si="57"/>
        <v>108.76236880082809</v>
      </c>
      <c r="P232" s="200">
        <f t="shared" si="58"/>
        <v>7.2508245867218726</v>
      </c>
      <c r="Q232" s="200">
        <f t="shared" si="59"/>
        <v>4.7491754132781274</v>
      </c>
      <c r="R232" s="200">
        <f t="shared" si="60"/>
        <v>19.250824586721873</v>
      </c>
      <c r="S232" s="204">
        <f t="shared" si="61"/>
        <v>0.27777777777777779</v>
      </c>
      <c r="T232" s="204">
        <f t="shared" si="62"/>
        <v>0.88263888888888886</v>
      </c>
      <c r="U232" s="205" t="str">
        <f t="shared" si="64"/>
        <v>E</v>
      </c>
      <c r="V232" s="272">
        <f t="shared" si="63"/>
        <v>2</v>
      </c>
      <c r="W232" s="207" t="str">
        <f>IF(Introduction!$E$7=1,CONCATENATE("🌞 ➚ ",TEXT(S232,"hh:mm")," ","➘ ",TEXT(T232,"hh:mm")),CONCATENATE("☼ ➚ ",TEXT(S232,"hh:mm")," ","➘ ",TEXT(T232,"hh:mm")))</f>
        <v>🌞 ➚ 06:40 ➘ 21:11</v>
      </c>
    </row>
    <row r="233" spans="6:23" x14ac:dyDescent="0.2">
      <c r="F233" s="198">
        <f t="shared" si="71"/>
        <v>44422</v>
      </c>
      <c r="G233" s="199">
        <f t="shared" si="65"/>
        <v>226</v>
      </c>
      <c r="H233" s="200">
        <f t="shared" si="55"/>
        <v>219.74559999999997</v>
      </c>
      <c r="I233" s="200">
        <f t="shared" si="66"/>
        <v>-1.204108700103818</v>
      </c>
      <c r="J233" s="200">
        <f t="shared" si="56"/>
        <v>141.54149129989617</v>
      </c>
      <c r="K233" s="200">
        <f t="shared" si="67"/>
        <v>2.3786190769775839</v>
      </c>
      <c r="L233" s="201">
        <f t="shared" si="68"/>
        <v>4.6980415074950637</v>
      </c>
      <c r="M233" s="202">
        <f t="shared" si="69"/>
        <v>0.195751729478961</v>
      </c>
      <c r="N233" s="203">
        <f t="shared" si="70"/>
        <v>14.324350051239318</v>
      </c>
      <c r="O233" s="200">
        <f t="shared" si="57"/>
        <v>108.36526317582809</v>
      </c>
      <c r="P233" s="200">
        <f t="shared" si="58"/>
        <v>7.2243508783885391</v>
      </c>
      <c r="Q233" s="200">
        <f t="shared" si="59"/>
        <v>4.7756491216114609</v>
      </c>
      <c r="R233" s="200">
        <f t="shared" si="60"/>
        <v>19.224350878388538</v>
      </c>
      <c r="S233" s="204">
        <f t="shared" si="61"/>
        <v>0.27916666666666667</v>
      </c>
      <c r="T233" s="204">
        <f t="shared" si="62"/>
        <v>0.88124999999999998</v>
      </c>
      <c r="U233" s="205" t="str">
        <f t="shared" si="64"/>
        <v>E</v>
      </c>
      <c r="V233" s="272">
        <f t="shared" si="63"/>
        <v>2</v>
      </c>
      <c r="W233" s="207" t="str">
        <f>IF(Introduction!$E$7=1,CONCATENATE("🌞 ➚ ",TEXT(S233,"hh:mm")," ","➘ ",TEXT(T233,"hh:mm")),CONCATENATE("☼ ➚ ",TEXT(S233,"hh:mm")," ","➘ ",TEXT(T233,"hh:mm")))</f>
        <v>🌞 ➚ 06:42 ➘ 21:09</v>
      </c>
    </row>
    <row r="234" spans="6:23" x14ac:dyDescent="0.2">
      <c r="F234" s="198">
        <f t="shared" si="71"/>
        <v>44423</v>
      </c>
      <c r="G234" s="199">
        <f t="shared" si="65"/>
        <v>227</v>
      </c>
      <c r="H234" s="200">
        <f t="shared" si="55"/>
        <v>220.73119999999994</v>
      </c>
      <c r="I234" s="200">
        <f t="shared" si="66"/>
        <v>-1.2291279559492685</v>
      </c>
      <c r="J234" s="200">
        <f t="shared" si="56"/>
        <v>142.50207204405075</v>
      </c>
      <c r="K234" s="200">
        <f t="shared" si="67"/>
        <v>2.3554202788887388</v>
      </c>
      <c r="L234" s="201">
        <f t="shared" si="68"/>
        <v>4.5051692917578814</v>
      </c>
      <c r="M234" s="202">
        <f t="shared" si="69"/>
        <v>0.1877153871565784</v>
      </c>
      <c r="N234" s="203">
        <f t="shared" si="70"/>
        <v>14.013699226094639</v>
      </c>
      <c r="O234" s="200">
        <f t="shared" si="57"/>
        <v>107.96531615974943</v>
      </c>
      <c r="P234" s="200">
        <f t="shared" si="58"/>
        <v>7.1976877439832956</v>
      </c>
      <c r="Q234" s="200">
        <f t="shared" si="59"/>
        <v>4.8023122560167044</v>
      </c>
      <c r="R234" s="200">
        <f t="shared" si="60"/>
        <v>19.197687743983295</v>
      </c>
      <c r="S234" s="204">
        <f t="shared" si="61"/>
        <v>0.27986111111111112</v>
      </c>
      <c r="T234" s="204">
        <f t="shared" si="62"/>
        <v>0.87986111111111109</v>
      </c>
      <c r="U234" s="205" t="str">
        <f t="shared" si="64"/>
        <v>E</v>
      </c>
      <c r="V234" s="272">
        <f t="shared" si="63"/>
        <v>2</v>
      </c>
      <c r="W234" s="207" t="str">
        <f>IF(Introduction!$E$7=1,CONCATENATE("🌞 ➚ ",TEXT(S234,"hh:mm")," ","➘ ",TEXT(T234,"hh:mm")),CONCATENATE("☼ ➚ ",TEXT(S234,"hh:mm")," ","➘ ",TEXT(T234,"hh:mm")))</f>
        <v>🌞 ➚ 06:43 ➘ 21:07</v>
      </c>
    </row>
    <row r="235" spans="6:23" x14ac:dyDescent="0.2">
      <c r="F235" s="198">
        <f t="shared" si="71"/>
        <v>44424</v>
      </c>
      <c r="G235" s="199">
        <f t="shared" si="65"/>
        <v>228</v>
      </c>
      <c r="H235" s="200">
        <f t="shared" si="55"/>
        <v>221.71680000000003</v>
      </c>
      <c r="I235" s="200">
        <f t="shared" si="66"/>
        <v>-1.2538010680035945</v>
      </c>
      <c r="J235" s="200">
        <f t="shared" si="56"/>
        <v>143.46299893199637</v>
      </c>
      <c r="K235" s="200">
        <f t="shared" si="67"/>
        <v>2.329653152505661</v>
      </c>
      <c r="L235" s="201">
        <f t="shared" si="68"/>
        <v>4.3034083380082659</v>
      </c>
      <c r="M235" s="202">
        <f t="shared" si="69"/>
        <v>0.17930868075034442</v>
      </c>
      <c r="N235" s="203">
        <f t="shared" si="70"/>
        <v>13.6993404584685</v>
      </c>
      <c r="O235" s="200">
        <f t="shared" si="57"/>
        <v>107.56265216803564</v>
      </c>
      <c r="P235" s="200">
        <f t="shared" si="58"/>
        <v>7.1708434778690426</v>
      </c>
      <c r="Q235" s="200">
        <f t="shared" si="59"/>
        <v>4.8291565221309574</v>
      </c>
      <c r="R235" s="200">
        <f t="shared" si="60"/>
        <v>19.170843477869042</v>
      </c>
      <c r="S235" s="204">
        <f t="shared" si="61"/>
        <v>0.28125</v>
      </c>
      <c r="T235" s="204">
        <f t="shared" si="62"/>
        <v>0.87847222222222221</v>
      </c>
      <c r="U235" s="205" t="str">
        <f t="shared" si="64"/>
        <v>E</v>
      </c>
      <c r="V235" s="272">
        <f t="shared" si="63"/>
        <v>2</v>
      </c>
      <c r="W235" s="207" t="str">
        <f>IF(Introduction!$E$7=1,CONCATENATE("🌞 ➚ ",TEXT(S235,"hh:mm")," ","➘ ",TEXT(T235,"hh:mm")),CONCATENATE("☼ ➚ ",TEXT(S235,"hh:mm")," ","➘ ",TEXT(T235,"hh:mm")))</f>
        <v>🌞 ➚ 06:45 ➘ 21:05</v>
      </c>
    </row>
    <row r="236" spans="6:23" x14ac:dyDescent="0.2">
      <c r="F236" s="198">
        <f t="shared" si="71"/>
        <v>44425</v>
      </c>
      <c r="G236" s="199">
        <f t="shared" si="65"/>
        <v>229</v>
      </c>
      <c r="H236" s="200">
        <f t="shared" si="55"/>
        <v>222.70240000000001</v>
      </c>
      <c r="I236" s="200">
        <f t="shared" si="66"/>
        <v>-1.2781208157495056</v>
      </c>
      <c r="J236" s="200">
        <f t="shared" si="56"/>
        <v>144.42427918425051</v>
      </c>
      <c r="K236" s="200">
        <f t="shared" si="67"/>
        <v>2.3013538972664307</v>
      </c>
      <c r="L236" s="201">
        <f t="shared" si="68"/>
        <v>4.0929323260677002</v>
      </c>
      <c r="M236" s="202">
        <f t="shared" si="69"/>
        <v>0.17053884691948751</v>
      </c>
      <c r="N236" s="203">
        <f t="shared" si="70"/>
        <v>13.38136088076636</v>
      </c>
      <c r="O236" s="200">
        <f t="shared" si="57"/>
        <v>107.15739159248042</v>
      </c>
      <c r="P236" s="200">
        <f t="shared" si="58"/>
        <v>7.1438261061653616</v>
      </c>
      <c r="Q236" s="200">
        <f t="shared" si="59"/>
        <v>4.8561738938346384</v>
      </c>
      <c r="R236" s="200">
        <f t="shared" si="60"/>
        <v>19.143826106165363</v>
      </c>
      <c r="S236" s="204">
        <f t="shared" si="61"/>
        <v>0.28194444444444444</v>
      </c>
      <c r="T236" s="204">
        <f t="shared" si="62"/>
        <v>0.87708333333333333</v>
      </c>
      <c r="U236" s="205" t="str">
        <f t="shared" si="64"/>
        <v>E</v>
      </c>
      <c r="V236" s="272">
        <f t="shared" si="63"/>
        <v>2</v>
      </c>
      <c r="W236" s="207" t="str">
        <f>IF(Introduction!$E$7=1,CONCATENATE("🌞 ➚ ",TEXT(S236,"hh:mm")," ","➘ ",TEXT(T236,"hh:mm")),CONCATENATE("☼ ➚ ",TEXT(S236,"hh:mm")," ","➘ ",TEXT(T236,"hh:mm")))</f>
        <v>🌞 ➚ 06:46 ➘ 21:03</v>
      </c>
    </row>
    <row r="237" spans="6:23" x14ac:dyDescent="0.2">
      <c r="F237" s="198">
        <f t="shared" si="71"/>
        <v>44426</v>
      </c>
      <c r="G237" s="199">
        <f t="shared" si="65"/>
        <v>230</v>
      </c>
      <c r="H237" s="200">
        <f t="shared" si="55"/>
        <v>223.68799999999999</v>
      </c>
      <c r="I237" s="200">
        <f t="shared" si="66"/>
        <v>-1.3020800623581028</v>
      </c>
      <c r="J237" s="200">
        <f t="shared" si="56"/>
        <v>145.38591993764192</v>
      </c>
      <c r="K237" s="200">
        <f t="shared" si="67"/>
        <v>2.270561117772111</v>
      </c>
      <c r="L237" s="201">
        <f t="shared" si="68"/>
        <v>3.8739242216560328</v>
      </c>
      <c r="M237" s="202">
        <f t="shared" si="69"/>
        <v>0.16141350923566802</v>
      </c>
      <c r="N237" s="203">
        <f t="shared" si="70"/>
        <v>13.059847859575557</v>
      </c>
      <c r="O237" s="200">
        <f t="shared" si="57"/>
        <v>106.74965085105886</v>
      </c>
      <c r="P237" s="200">
        <f t="shared" si="58"/>
        <v>7.1166433900705908</v>
      </c>
      <c r="Q237" s="200">
        <f t="shared" si="59"/>
        <v>4.8833566099294092</v>
      </c>
      <c r="R237" s="200">
        <f t="shared" si="60"/>
        <v>19.116643390070593</v>
      </c>
      <c r="S237" s="204">
        <f t="shared" si="61"/>
        <v>0.28263888888888888</v>
      </c>
      <c r="T237" s="204">
        <f t="shared" si="62"/>
        <v>0.87569444444444444</v>
      </c>
      <c r="U237" s="205" t="str">
        <f t="shared" si="64"/>
        <v>E</v>
      </c>
      <c r="V237" s="272">
        <f t="shared" si="63"/>
        <v>2</v>
      </c>
      <c r="W237" s="207" t="str">
        <f>IF(Introduction!$E$7=1,CONCATENATE("🌞 ➚ ",TEXT(S237,"hh:mm")," ","➘ ",TEXT(T237,"hh:mm")),CONCATENATE("☼ ➚ ",TEXT(S237,"hh:mm")," ","➘ ",TEXT(T237,"hh:mm")))</f>
        <v>🌞 ➚ 06:47 ➘ 21:01</v>
      </c>
    </row>
    <row r="238" spans="6:23" x14ac:dyDescent="0.2">
      <c r="F238" s="198">
        <f t="shared" si="71"/>
        <v>44427</v>
      </c>
      <c r="G238" s="199">
        <f t="shared" si="65"/>
        <v>231</v>
      </c>
      <c r="H238" s="200">
        <f t="shared" si="55"/>
        <v>224.67359999999996</v>
      </c>
      <c r="I238" s="200">
        <f t="shared" si="66"/>
        <v>-1.3256717567303651</v>
      </c>
      <c r="J238" s="200">
        <f t="shared" si="56"/>
        <v>146.34792824326962</v>
      </c>
      <c r="K238" s="200">
        <f t="shared" si="67"/>
        <v>2.2373157460713284</v>
      </c>
      <c r="L238" s="201">
        <f t="shared" si="68"/>
        <v>3.6465759573638534</v>
      </c>
      <c r="M238" s="202">
        <f t="shared" si="69"/>
        <v>0.15194066489016056</v>
      </c>
      <c r="N238" s="203">
        <f t="shared" si="70"/>
        <v>12.734888976148392</v>
      </c>
      <c r="O238" s="200">
        <f t="shared" si="57"/>
        <v>106.33954244566441</v>
      </c>
      <c r="P238" s="200">
        <f t="shared" si="58"/>
        <v>7.0893028297109604</v>
      </c>
      <c r="Q238" s="200">
        <f t="shared" si="59"/>
        <v>4.9106971702890396</v>
      </c>
      <c r="R238" s="200">
        <f t="shared" si="60"/>
        <v>19.089302829710959</v>
      </c>
      <c r="S238" s="204">
        <f t="shared" si="61"/>
        <v>0.28402777777777777</v>
      </c>
      <c r="T238" s="204">
        <f t="shared" si="62"/>
        <v>0.875</v>
      </c>
      <c r="U238" s="205" t="str">
        <f t="shared" si="64"/>
        <v>E</v>
      </c>
      <c r="V238" s="272">
        <f t="shared" si="63"/>
        <v>2</v>
      </c>
      <c r="W238" s="207" t="str">
        <f>IF(Introduction!$E$7=1,CONCATENATE("🌞 ➚ ",TEXT(S238,"hh:mm")," ","➘ ",TEXT(T238,"hh:mm")),CONCATENATE("☼ ➚ ",TEXT(S238,"hh:mm")," ","➘ ",TEXT(T238,"hh:mm")))</f>
        <v>🌞 ➚ 06:49 ➘ 21:00</v>
      </c>
    </row>
    <row r="239" spans="6:23" x14ac:dyDescent="0.2">
      <c r="F239" s="198">
        <f t="shared" si="71"/>
        <v>44428</v>
      </c>
      <c r="G239" s="199">
        <f t="shared" si="65"/>
        <v>232</v>
      </c>
      <c r="H239" s="200">
        <f t="shared" si="55"/>
        <v>225.65920000000006</v>
      </c>
      <c r="I239" s="200">
        <f t="shared" si="66"/>
        <v>-1.3488889355380707</v>
      </c>
      <c r="J239" s="200">
        <f t="shared" si="56"/>
        <v>147.31031106446193</v>
      </c>
      <c r="K239" s="200">
        <f t="shared" si="67"/>
        <v>2.2016609633959607</v>
      </c>
      <c r="L239" s="201">
        <f t="shared" si="68"/>
        <v>3.4110881114315603</v>
      </c>
      <c r="M239" s="202">
        <f t="shared" si="69"/>
        <v>0.14212867130964835</v>
      </c>
      <c r="N239" s="203">
        <f t="shared" si="70"/>
        <v>12.40657200872235</v>
      </c>
      <c r="O239" s="200">
        <f t="shared" si="57"/>
        <v>105.92717502708734</v>
      </c>
      <c r="P239" s="200">
        <f t="shared" si="58"/>
        <v>7.0618116684724894</v>
      </c>
      <c r="Q239" s="200">
        <f t="shared" si="59"/>
        <v>4.9381883315275106</v>
      </c>
      <c r="R239" s="200">
        <f t="shared" si="60"/>
        <v>19.06181166847249</v>
      </c>
      <c r="S239" s="204">
        <f t="shared" si="61"/>
        <v>0.28472222222222221</v>
      </c>
      <c r="T239" s="204">
        <f t="shared" si="62"/>
        <v>0.87361111111111101</v>
      </c>
      <c r="U239" s="205" t="str">
        <f t="shared" si="64"/>
        <v>E</v>
      </c>
      <c r="V239" s="272">
        <f t="shared" si="63"/>
        <v>2</v>
      </c>
      <c r="W239" s="207" t="str">
        <f>IF(Introduction!$E$7=1,CONCATENATE("🌞 ➚ ",TEXT(S239,"hh:mm")," ","➘ ",TEXT(T239,"hh:mm")),CONCATENATE("☼ ➚ ",TEXT(S239,"hh:mm")," ","➘ ",TEXT(T239,"hh:mm")))</f>
        <v>🌞 ➚ 06:50 ➘ 20:58</v>
      </c>
    </row>
    <row r="240" spans="6:23" x14ac:dyDescent="0.2">
      <c r="F240" s="198">
        <f t="shared" si="71"/>
        <v>44429</v>
      </c>
      <c r="G240" s="199">
        <f t="shared" si="65"/>
        <v>233</v>
      </c>
      <c r="H240" s="200">
        <f t="shared" si="55"/>
        <v>226.64480000000003</v>
      </c>
      <c r="I240" s="200">
        <f t="shared" si="66"/>
        <v>-1.3717247252635758</v>
      </c>
      <c r="J240" s="200">
        <f t="shared" si="56"/>
        <v>148.27307527473647</v>
      </c>
      <c r="K240" s="200">
        <f t="shared" si="67"/>
        <v>2.1636421216043789</v>
      </c>
      <c r="L240" s="201">
        <f t="shared" si="68"/>
        <v>3.1676695853632122</v>
      </c>
      <c r="M240" s="202">
        <f t="shared" si="69"/>
        <v>0.13198623272346718</v>
      </c>
      <c r="N240" s="203">
        <f t="shared" si="70"/>
        <v>12.074984916644455</v>
      </c>
      <c r="O240" s="200">
        <f t="shared" si="57"/>
        <v>105.51265346660313</v>
      </c>
      <c r="P240" s="200">
        <f t="shared" si="58"/>
        <v>7.0341768977735422</v>
      </c>
      <c r="Q240" s="200">
        <f t="shared" si="59"/>
        <v>4.9658231022264578</v>
      </c>
      <c r="R240" s="200">
        <f t="shared" si="60"/>
        <v>19.034176897773541</v>
      </c>
      <c r="S240" s="204">
        <f t="shared" si="61"/>
        <v>0.28611111111111115</v>
      </c>
      <c r="T240" s="204">
        <f t="shared" si="62"/>
        <v>0.87222222222222223</v>
      </c>
      <c r="U240" s="205" t="str">
        <f t="shared" si="64"/>
        <v>E</v>
      </c>
      <c r="V240" s="272">
        <f t="shared" si="63"/>
        <v>2</v>
      </c>
      <c r="W240" s="207" t="str">
        <f>IF(Introduction!$E$7=1,CONCATENATE("🌞 ➚ ",TEXT(S240,"hh:mm")," ","➘ ",TEXT(T240,"hh:mm")),CONCATENATE("☼ ➚ ",TEXT(S240,"hh:mm")," ","➘ ",TEXT(T240,"hh:mm")))</f>
        <v>🌞 ➚ 06:52 ➘ 20:56</v>
      </c>
    </row>
    <row r="241" spans="6:23" x14ac:dyDescent="0.2">
      <c r="F241" s="198">
        <f t="shared" si="71"/>
        <v>44430</v>
      </c>
      <c r="G241" s="199">
        <f t="shared" si="65"/>
        <v>234</v>
      </c>
      <c r="H241" s="200">
        <f t="shared" si="55"/>
        <v>227.63040000000001</v>
      </c>
      <c r="I241" s="200">
        <f t="shared" si="66"/>
        <v>-1.3941723442378988</v>
      </c>
      <c r="J241" s="200">
        <f t="shared" si="56"/>
        <v>149.23622765576209</v>
      </c>
      <c r="K241" s="200">
        <f t="shared" si="67"/>
        <v>2.1233066645811176</v>
      </c>
      <c r="L241" s="201">
        <f t="shared" si="68"/>
        <v>2.9165372813728752</v>
      </c>
      <c r="M241" s="202">
        <f t="shared" si="69"/>
        <v>0.12152238672386979</v>
      </c>
      <c r="N241" s="203">
        <f t="shared" si="70"/>
        <v>11.740215826263904</v>
      </c>
      <c r="O241" s="200">
        <f t="shared" si="57"/>
        <v>105.09607893357335</v>
      </c>
      <c r="P241" s="200">
        <f t="shared" si="58"/>
        <v>7.0064052622382231</v>
      </c>
      <c r="Q241" s="200">
        <f t="shared" si="59"/>
        <v>4.9935947377617769</v>
      </c>
      <c r="R241" s="200">
        <f t="shared" si="60"/>
        <v>19.006405262238225</v>
      </c>
      <c r="S241" s="204">
        <f t="shared" si="61"/>
        <v>0.28680555555555554</v>
      </c>
      <c r="T241" s="204">
        <f t="shared" si="62"/>
        <v>0.87083333333333324</v>
      </c>
      <c r="U241" s="205" t="str">
        <f t="shared" si="64"/>
        <v>E</v>
      </c>
      <c r="V241" s="272">
        <f t="shared" si="63"/>
        <v>2</v>
      </c>
      <c r="W241" s="207" t="str">
        <f>IF(Introduction!$E$7=1,CONCATENATE("🌞 ➚ ",TEXT(S241,"hh:mm")," ","➘ ",TEXT(T241,"hh:mm")),CONCATENATE("☼ ➚ ",TEXT(S241,"hh:mm")," ","➘ ",TEXT(T241,"hh:mm")))</f>
        <v>🌞 ➚ 06:53 ➘ 20:54</v>
      </c>
    </row>
    <row r="242" spans="6:23" x14ac:dyDescent="0.2">
      <c r="F242" s="198">
        <f t="shared" si="71"/>
        <v>44431</v>
      </c>
      <c r="G242" s="199">
        <f t="shared" si="65"/>
        <v>235</v>
      </c>
      <c r="H242" s="200">
        <f t="shared" si="55"/>
        <v>228.61599999999999</v>
      </c>
      <c r="I242" s="200">
        <f t="shared" si="66"/>
        <v>-1.4162251046764707</v>
      </c>
      <c r="J242" s="200">
        <f t="shared" si="56"/>
        <v>150.19977489532357</v>
      </c>
      <c r="K242" s="200">
        <f t="shared" si="67"/>
        <v>2.0807040498331579</v>
      </c>
      <c r="L242" s="201">
        <f t="shared" si="68"/>
        <v>2.657915780626749</v>
      </c>
      <c r="M242" s="202">
        <f t="shared" si="69"/>
        <v>0.11074649085944788</v>
      </c>
      <c r="N242" s="203">
        <f t="shared" si="70"/>
        <v>11.402353018554479</v>
      </c>
      <c r="O242" s="200">
        <f t="shared" si="57"/>
        <v>104.67754897849575</v>
      </c>
      <c r="P242" s="200">
        <f t="shared" si="58"/>
        <v>6.9785032652330496</v>
      </c>
      <c r="Q242" s="200">
        <f t="shared" si="59"/>
        <v>5.0214967347669504</v>
      </c>
      <c r="R242" s="200">
        <f t="shared" si="60"/>
        <v>18.978503265233051</v>
      </c>
      <c r="S242" s="204">
        <f t="shared" si="61"/>
        <v>0.28819444444444448</v>
      </c>
      <c r="T242" s="204">
        <f t="shared" si="62"/>
        <v>0.86944444444444446</v>
      </c>
      <c r="U242" s="205" t="str">
        <f t="shared" si="64"/>
        <v>E</v>
      </c>
      <c r="V242" s="272">
        <f t="shared" si="63"/>
        <v>2</v>
      </c>
      <c r="W242" s="207" t="str">
        <f>IF(Introduction!$E$7=1,CONCATENATE("🌞 ➚ ",TEXT(S242,"hh:mm")," ","➘ ",TEXT(T242,"hh:mm")),CONCATENATE("☼ ➚ ",TEXT(S242,"hh:mm")," ","➘ ",TEXT(T242,"hh:mm")))</f>
        <v>🌞 ➚ 06:55 ➘ 20:52</v>
      </c>
    </row>
    <row r="243" spans="6:23" x14ac:dyDescent="0.2">
      <c r="F243" s="198">
        <f t="shared" si="71"/>
        <v>44432</v>
      </c>
      <c r="G243" s="199">
        <f t="shared" si="65"/>
        <v>236</v>
      </c>
      <c r="H243" s="200">
        <f t="shared" si="55"/>
        <v>229.60159999999996</v>
      </c>
      <c r="I243" s="200">
        <f t="shared" si="66"/>
        <v>-1.4378764147119343</v>
      </c>
      <c r="J243" s="200">
        <f t="shared" si="56"/>
        <v>151.1637235852881</v>
      </c>
      <c r="K243" s="200">
        <f t="shared" si="67"/>
        <v>2.0358856705133443</v>
      </c>
      <c r="L243" s="201">
        <f t="shared" si="68"/>
        <v>2.3920370232056403</v>
      </c>
      <c r="M243" s="202">
        <f t="shared" si="69"/>
        <v>9.9668209300235011E-2</v>
      </c>
      <c r="N243" s="203">
        <f t="shared" si="70"/>
        <v>11.061484918426391</v>
      </c>
      <c r="O243" s="200">
        <f t="shared" si="57"/>
        <v>104.25715762097555</v>
      </c>
      <c r="P243" s="200">
        <f t="shared" si="58"/>
        <v>6.9504771747317031</v>
      </c>
      <c r="Q243" s="200">
        <f t="shared" si="59"/>
        <v>5.0495228252682969</v>
      </c>
      <c r="R243" s="200">
        <f t="shared" si="60"/>
        <v>18.950477174731702</v>
      </c>
      <c r="S243" s="204">
        <f t="shared" si="61"/>
        <v>0.28888888888888892</v>
      </c>
      <c r="T243" s="204">
        <f t="shared" si="62"/>
        <v>0.86805555555555547</v>
      </c>
      <c r="U243" s="205" t="str">
        <f t="shared" si="64"/>
        <v>E</v>
      </c>
      <c r="V243" s="272">
        <f t="shared" si="63"/>
        <v>2</v>
      </c>
      <c r="W243" s="207" t="str">
        <f>IF(Introduction!$E$7=1,CONCATENATE("🌞 ➚ ",TEXT(S243,"hh:mm")," ","➘ ",TEXT(T243,"hh:mm")),CONCATENATE("☼ ➚ ",TEXT(S243,"hh:mm")," ","➘ ",TEXT(T243,"hh:mm")))</f>
        <v>🌞 ➚ 06:56 ➘ 20:50</v>
      </c>
    </row>
    <row r="244" spans="6:23" x14ac:dyDescent="0.2">
      <c r="F244" s="198">
        <f t="shared" si="71"/>
        <v>44433</v>
      </c>
      <c r="G244" s="199">
        <f t="shared" si="65"/>
        <v>237</v>
      </c>
      <c r="H244" s="200">
        <f t="shared" si="55"/>
        <v>230.58719999999994</v>
      </c>
      <c r="I244" s="200">
        <f t="shared" si="66"/>
        <v>-1.4591197804233209</v>
      </c>
      <c r="J244" s="200">
        <f t="shared" si="56"/>
        <v>152.12808021957676</v>
      </c>
      <c r="K244" s="200">
        <f t="shared" si="67"/>
        <v>1.9889047780906228</v>
      </c>
      <c r="L244" s="201">
        <f t="shared" si="68"/>
        <v>2.1191399906692077</v>
      </c>
      <c r="M244" s="202">
        <f t="shared" si="69"/>
        <v>8.8297499611216981E-2</v>
      </c>
      <c r="N244" s="203">
        <f t="shared" si="70"/>
        <v>10.717700085683674</v>
      </c>
      <c r="O244" s="200">
        <f t="shared" si="57"/>
        <v>103.83499544212276</v>
      </c>
      <c r="P244" s="200">
        <f t="shared" si="58"/>
        <v>6.9223330294748511</v>
      </c>
      <c r="Q244" s="200">
        <f t="shared" si="59"/>
        <v>5.0776669705251489</v>
      </c>
      <c r="R244" s="200">
        <f t="shared" si="60"/>
        <v>18.922333029474849</v>
      </c>
      <c r="S244" s="204">
        <f t="shared" si="61"/>
        <v>0.28958333333333336</v>
      </c>
      <c r="T244" s="204">
        <f t="shared" si="62"/>
        <v>0.8666666666666667</v>
      </c>
      <c r="U244" s="205" t="str">
        <f t="shared" si="64"/>
        <v>E</v>
      </c>
      <c r="V244" s="272">
        <f t="shared" si="63"/>
        <v>2</v>
      </c>
      <c r="W244" s="207" t="str">
        <f>IF(Introduction!$E$7=1,CONCATENATE("🌞 ➚ ",TEXT(S244,"hh:mm")," ","➘ ",TEXT(T244,"hh:mm")),CONCATENATE("☼ ➚ ",TEXT(S244,"hh:mm")," ","➘ ",TEXT(T244,"hh:mm")))</f>
        <v>🌞 ➚ 06:57 ➘ 20:48</v>
      </c>
    </row>
    <row r="245" spans="6:23" x14ac:dyDescent="0.2">
      <c r="F245" s="198">
        <f t="shared" si="71"/>
        <v>44434</v>
      </c>
      <c r="G245" s="199">
        <f t="shared" si="65"/>
        <v>238</v>
      </c>
      <c r="H245" s="200">
        <f t="shared" si="55"/>
        <v>231.57280000000003</v>
      </c>
      <c r="I245" s="200">
        <f t="shared" si="66"/>
        <v>-1.4799488078609235</v>
      </c>
      <c r="J245" s="200">
        <f t="shared" si="56"/>
        <v>153.09285119213905</v>
      </c>
      <c r="K245" s="200">
        <f t="shared" si="67"/>
        <v>1.9398164058752858</v>
      </c>
      <c r="L245" s="201">
        <f t="shared" si="68"/>
        <v>1.8394703920574491</v>
      </c>
      <c r="M245" s="202">
        <f t="shared" si="69"/>
        <v>7.6644599669060384E-2</v>
      </c>
      <c r="N245" s="203">
        <f t="shared" si="70"/>
        <v>10.371087207583022</v>
      </c>
      <c r="O245" s="200">
        <f t="shared" si="57"/>
        <v>103.41114968091587</v>
      </c>
      <c r="P245" s="200">
        <f t="shared" si="58"/>
        <v>6.8940766453943914</v>
      </c>
      <c r="Q245" s="200">
        <f t="shared" si="59"/>
        <v>5.1059233546056086</v>
      </c>
      <c r="R245" s="200">
        <f t="shared" si="60"/>
        <v>18.894076645394392</v>
      </c>
      <c r="S245" s="204">
        <f t="shared" si="61"/>
        <v>0.29097222222222224</v>
      </c>
      <c r="T245" s="204">
        <f t="shared" si="62"/>
        <v>0.8652777777777777</v>
      </c>
      <c r="U245" s="205" t="str">
        <f t="shared" si="64"/>
        <v>E</v>
      </c>
      <c r="V245" s="272">
        <f t="shared" si="63"/>
        <v>2</v>
      </c>
      <c r="W245" s="207" t="str">
        <f>IF(Introduction!$E$7=1,CONCATENATE("🌞 ➚ ",TEXT(S245,"hh:mm")," ","➘ ",TEXT(T245,"hh:mm")),CONCATENATE("☼ ➚ ",TEXT(S245,"hh:mm")," ","➘ ",TEXT(T245,"hh:mm")))</f>
        <v>🌞 ➚ 06:59 ➘ 20:46</v>
      </c>
    </row>
    <row r="246" spans="6:23" x14ac:dyDescent="0.2">
      <c r="F246" s="198">
        <f t="shared" si="71"/>
        <v>44435</v>
      </c>
      <c r="G246" s="199">
        <f t="shared" si="65"/>
        <v>239</v>
      </c>
      <c r="H246" s="200">
        <f t="shared" si="55"/>
        <v>232.55840000000001</v>
      </c>
      <c r="I246" s="200">
        <f t="shared" si="66"/>
        <v>-1.500357205066108</v>
      </c>
      <c r="J246" s="200">
        <f t="shared" si="56"/>
        <v>154.05804279493395</v>
      </c>
      <c r="K246" s="200">
        <f t="shared" si="67"/>
        <v>1.8886772935946223</v>
      </c>
      <c r="L246" s="201">
        <f t="shared" si="68"/>
        <v>1.5532803541140572</v>
      </c>
      <c r="M246" s="202">
        <f t="shared" si="69"/>
        <v>6.4720014754752378E-2</v>
      </c>
      <c r="N246" s="203">
        <f t="shared" si="70"/>
        <v>10.021735092946304</v>
      </c>
      <c r="O246" s="200">
        <f t="shared" si="57"/>
        <v>102.98570433410372</v>
      </c>
      <c r="P246" s="200">
        <f t="shared" si="58"/>
        <v>6.8657136222735806</v>
      </c>
      <c r="Q246" s="200">
        <f t="shared" si="59"/>
        <v>5.1342863777264194</v>
      </c>
      <c r="R246" s="200">
        <f t="shared" si="60"/>
        <v>18.865713622273582</v>
      </c>
      <c r="S246" s="204">
        <f t="shared" si="61"/>
        <v>0.29166666666666669</v>
      </c>
      <c r="T246" s="204">
        <f t="shared" si="62"/>
        <v>0.86388888888888893</v>
      </c>
      <c r="U246" s="205" t="str">
        <f t="shared" si="64"/>
        <v>E</v>
      </c>
      <c r="V246" s="272">
        <f t="shared" si="63"/>
        <v>2</v>
      </c>
      <c r="W246" s="207" t="str">
        <f>IF(Introduction!$E$7=1,CONCATENATE("🌞 ➚ ",TEXT(S246,"hh:mm")," ","➘ ",TEXT(T246,"hh:mm")),CONCATENATE("☼ ➚ ",TEXT(S246,"hh:mm")," ","➘ ",TEXT(T246,"hh:mm")))</f>
        <v>🌞 ➚ 07:00 ➘ 20:44</v>
      </c>
    </row>
    <row r="247" spans="6:23" x14ac:dyDescent="0.2">
      <c r="F247" s="198">
        <f t="shared" si="71"/>
        <v>44436</v>
      </c>
      <c r="G247" s="199">
        <f t="shared" si="65"/>
        <v>240</v>
      </c>
      <c r="H247" s="200">
        <f t="shared" si="55"/>
        <v>233.54399999999998</v>
      </c>
      <c r="I247" s="200">
        <f t="shared" si="66"/>
        <v>-1.5203387840853737</v>
      </c>
      <c r="J247" s="200">
        <f t="shared" si="56"/>
        <v>155.02366121591467</v>
      </c>
      <c r="K247" s="200">
        <f t="shared" si="67"/>
        <v>1.835545813201231</v>
      </c>
      <c r="L247" s="201">
        <f t="shared" si="68"/>
        <v>1.2608281164634292</v>
      </c>
      <c r="M247" s="202">
        <f t="shared" si="69"/>
        <v>5.2534504852642883E-2</v>
      </c>
      <c r="N247" s="203">
        <f t="shared" si="70"/>
        <v>9.6697326677798525</v>
      </c>
      <c r="O247" s="200">
        <f t="shared" si="57"/>
        <v>102.5587402592522</v>
      </c>
      <c r="P247" s="200">
        <f t="shared" si="58"/>
        <v>6.8372493506168137</v>
      </c>
      <c r="Q247" s="200">
        <f t="shared" si="59"/>
        <v>5.1627506493831863</v>
      </c>
      <c r="R247" s="200">
        <f t="shared" si="60"/>
        <v>18.837249350616815</v>
      </c>
      <c r="S247" s="204">
        <f t="shared" si="61"/>
        <v>0.29305555555555557</v>
      </c>
      <c r="T247" s="204">
        <f t="shared" si="62"/>
        <v>0.86249999999999993</v>
      </c>
      <c r="U247" s="205" t="str">
        <f t="shared" si="64"/>
        <v>E</v>
      </c>
      <c r="V247" s="272">
        <f t="shared" si="63"/>
        <v>2</v>
      </c>
      <c r="W247" s="207" t="str">
        <f>IF(Introduction!$E$7=1,CONCATENATE("🌞 ➚ ",TEXT(S247,"hh:mm")," ","➘ ",TEXT(T247,"hh:mm")),CONCATENATE("☼ ➚ ",TEXT(S247,"hh:mm")," ","➘ ",TEXT(T247,"hh:mm")))</f>
        <v>🌞 ➚ 07:02 ➘ 20:42</v>
      </c>
    </row>
    <row r="248" spans="6:23" x14ac:dyDescent="0.2">
      <c r="F248" s="198">
        <f t="shared" si="71"/>
        <v>44437</v>
      </c>
      <c r="G248" s="199">
        <f t="shared" si="65"/>
        <v>241</v>
      </c>
      <c r="H248" s="200">
        <f t="shared" si="55"/>
        <v>234.52960000000007</v>
      </c>
      <c r="I248" s="200">
        <f t="shared" si="66"/>
        <v>-1.5398874629778316</v>
      </c>
      <c r="J248" s="200">
        <f t="shared" si="56"/>
        <v>155.98971253702211</v>
      </c>
      <c r="K248" s="200">
        <f t="shared" si="67"/>
        <v>1.7804818960816504</v>
      </c>
      <c r="L248" s="201">
        <f t="shared" si="68"/>
        <v>0.96237773241527513</v>
      </c>
      <c r="M248" s="202">
        <f t="shared" si="69"/>
        <v>4.0099072183969797E-2</v>
      </c>
      <c r="N248" s="203">
        <f t="shared" si="70"/>
        <v>9.3151689723493689</v>
      </c>
      <c r="O248" s="200">
        <f t="shared" si="57"/>
        <v>102.13033528057143</v>
      </c>
      <c r="P248" s="200">
        <f t="shared" si="58"/>
        <v>6.8086890187047624</v>
      </c>
      <c r="Q248" s="200">
        <f t="shared" si="59"/>
        <v>5.1913109812952376</v>
      </c>
      <c r="R248" s="200">
        <f t="shared" si="60"/>
        <v>18.808689018704762</v>
      </c>
      <c r="S248" s="204">
        <f t="shared" si="61"/>
        <v>0.29375000000000001</v>
      </c>
      <c r="T248" s="204">
        <f t="shared" si="62"/>
        <v>0.86111111111111116</v>
      </c>
      <c r="U248" s="205" t="str">
        <f t="shared" si="64"/>
        <v>E</v>
      </c>
      <c r="V248" s="272">
        <f t="shared" si="63"/>
        <v>2</v>
      </c>
      <c r="W248" s="207" t="str">
        <f>IF(Introduction!$E$7=1,CONCATENATE("🌞 ➚ ",TEXT(S248,"hh:mm")," ","➘ ",TEXT(T248,"hh:mm")),CONCATENATE("☼ ➚ ",TEXT(S248,"hh:mm")," ","➘ ",TEXT(T248,"hh:mm")))</f>
        <v>🌞 ➚ 07:03 ➘ 20:40</v>
      </c>
    </row>
    <row r="249" spans="6:23" x14ac:dyDescent="0.2">
      <c r="F249" s="198">
        <f t="shared" si="71"/>
        <v>44438</v>
      </c>
      <c r="G249" s="199">
        <f t="shared" si="65"/>
        <v>242</v>
      </c>
      <c r="H249" s="200">
        <f t="shared" si="55"/>
        <v>235.51520000000005</v>
      </c>
      <c r="I249" s="200">
        <f t="shared" si="66"/>
        <v>-1.5589972678153099</v>
      </c>
      <c r="J249" s="200">
        <f t="shared" si="56"/>
        <v>156.95620273218469</v>
      </c>
      <c r="K249" s="200">
        <f t="shared" si="67"/>
        <v>1.7235469618183024</v>
      </c>
      <c r="L249" s="201">
        <f t="shared" si="68"/>
        <v>0.65819877601196985</v>
      </c>
      <c r="M249" s="202">
        <f t="shared" si="69"/>
        <v>2.7424949000498744E-2</v>
      </c>
      <c r="N249" s="203">
        <f t="shared" si="70"/>
        <v>8.958133159660715</v>
      </c>
      <c r="O249" s="200">
        <f t="shared" si="57"/>
        <v>101.70056429719186</v>
      </c>
      <c r="P249" s="200">
        <f t="shared" si="58"/>
        <v>6.7800376198127905</v>
      </c>
      <c r="Q249" s="200">
        <f t="shared" si="59"/>
        <v>5.2199623801872095</v>
      </c>
      <c r="R249" s="200">
        <f t="shared" si="60"/>
        <v>18.780037619812791</v>
      </c>
      <c r="S249" s="204">
        <f t="shared" si="61"/>
        <v>0.29444444444444445</v>
      </c>
      <c r="T249" s="204">
        <f t="shared" si="62"/>
        <v>0.85972222222222217</v>
      </c>
      <c r="U249" s="205" t="str">
        <f t="shared" si="64"/>
        <v>E</v>
      </c>
      <c r="V249" s="272">
        <f t="shared" si="63"/>
        <v>2</v>
      </c>
      <c r="W249" s="207" t="str">
        <f>IF(Introduction!$E$7=1,CONCATENATE("🌞 ➚ ",TEXT(S249,"hh:mm")," ","➘ ",TEXT(T249,"hh:mm")),CONCATENATE("☼ ➚ ",TEXT(S249,"hh:mm")," ","➘ ",TEXT(T249,"hh:mm")))</f>
        <v>🌞 ➚ 07:04 ➘ 20:38</v>
      </c>
    </row>
    <row r="250" spans="6:23" x14ac:dyDescent="0.2">
      <c r="F250" s="198">
        <f t="shared" si="71"/>
        <v>44439</v>
      </c>
      <c r="G250" s="199">
        <f t="shared" si="65"/>
        <v>243</v>
      </c>
      <c r="H250" s="200">
        <f t="shared" si="55"/>
        <v>236.50080000000003</v>
      </c>
      <c r="I250" s="200">
        <f t="shared" si="66"/>
        <v>-1.5776623346742964</v>
      </c>
      <c r="J250" s="200">
        <f t="shared" si="56"/>
        <v>157.92313766532573</v>
      </c>
      <c r="K250" s="200">
        <f t="shared" si="67"/>
        <v>1.6648038486419798</v>
      </c>
      <c r="L250" s="201">
        <f t="shared" si="68"/>
        <v>0.34856605587073375</v>
      </c>
      <c r="M250" s="202">
        <f t="shared" si="69"/>
        <v>1.4523585661280572E-2</v>
      </c>
      <c r="N250" s="203">
        <f t="shared" si="70"/>
        <v>8.5987144952947343</v>
      </c>
      <c r="O250" s="200">
        <f t="shared" si="57"/>
        <v>101.2694993935872</v>
      </c>
      <c r="P250" s="200">
        <f t="shared" si="58"/>
        <v>6.7512999595724796</v>
      </c>
      <c r="Q250" s="200">
        <f t="shared" si="59"/>
        <v>5.2487000404275204</v>
      </c>
      <c r="R250" s="200">
        <f t="shared" si="60"/>
        <v>18.751299959572478</v>
      </c>
      <c r="S250" s="204">
        <f t="shared" si="61"/>
        <v>0.29583333333333334</v>
      </c>
      <c r="T250" s="204">
        <f t="shared" si="62"/>
        <v>0.85833333333333339</v>
      </c>
      <c r="U250" s="205" t="str">
        <f t="shared" si="64"/>
        <v>E</v>
      </c>
      <c r="V250" s="272">
        <f t="shared" si="63"/>
        <v>2</v>
      </c>
      <c r="W250" s="207" t="str">
        <f>IF(Introduction!$E$7=1,CONCATENATE("🌞 ➚ ",TEXT(S250,"hh:mm")," ","➘ ",TEXT(T250,"hh:mm")),CONCATENATE("☼ ➚ ",TEXT(S250,"hh:mm")," ","➘ ",TEXT(T250,"hh:mm")))</f>
        <v>🌞 ➚ 07:06 ➘ 20:36</v>
      </c>
    </row>
    <row r="251" spans="6:23" x14ac:dyDescent="0.2">
      <c r="F251" s="198">
        <f t="shared" si="71"/>
        <v>44440</v>
      </c>
      <c r="G251" s="199">
        <f t="shared" si="65"/>
        <v>244</v>
      </c>
      <c r="H251" s="200">
        <f t="shared" si="55"/>
        <v>237.4864</v>
      </c>
      <c r="I251" s="200">
        <f t="shared" si="66"/>
        <v>-1.5958769116188063</v>
      </c>
      <c r="J251" s="200">
        <f t="shared" si="56"/>
        <v>158.8905230883812</v>
      </c>
      <c r="K251" s="200">
        <f t="shared" si="67"/>
        <v>1.6043167456956893</v>
      </c>
      <c r="L251" s="201">
        <f t="shared" si="68"/>
        <v>3.3759336307531917E-2</v>
      </c>
      <c r="M251" s="202">
        <f t="shared" si="69"/>
        <v>1.40663901281383E-3</v>
      </c>
      <c r="N251" s="203">
        <f t="shared" si="70"/>
        <v>8.2370023585425862</v>
      </c>
      <c r="O251" s="200">
        <f t="shared" si="57"/>
        <v>100.83720995186866</v>
      </c>
      <c r="P251" s="200">
        <f t="shared" si="58"/>
        <v>6.7224806634579108</v>
      </c>
      <c r="Q251" s="200">
        <f t="shared" si="59"/>
        <v>5.2775193365420892</v>
      </c>
      <c r="R251" s="200">
        <f t="shared" si="60"/>
        <v>18.722480663457912</v>
      </c>
      <c r="S251" s="204">
        <f t="shared" si="61"/>
        <v>0.29652777777777778</v>
      </c>
      <c r="T251" s="204">
        <f t="shared" si="62"/>
        <v>0.8569444444444444</v>
      </c>
      <c r="U251" s="205" t="str">
        <f t="shared" si="64"/>
        <v>E</v>
      </c>
      <c r="V251" s="272">
        <f t="shared" si="63"/>
        <v>2</v>
      </c>
      <c r="W251" s="207" t="str">
        <f>IF(Introduction!$E$7=1,CONCATENATE("🌞 ➚ ",TEXT(S251,"hh:mm")," ","➘ ",TEXT(T251,"hh:mm")),CONCATENATE("☼ ➚ ",TEXT(S251,"hh:mm")," ","➘ ",TEXT(T251,"hh:mm")))</f>
        <v>🌞 ➚ 07:07 ➘ 20:34</v>
      </c>
    </row>
    <row r="252" spans="6:23" x14ac:dyDescent="0.2">
      <c r="F252" s="198">
        <f t="shared" si="71"/>
        <v>44441</v>
      </c>
      <c r="G252" s="199">
        <f t="shared" si="65"/>
        <v>245</v>
      </c>
      <c r="H252" s="200">
        <f t="shared" si="55"/>
        <v>238.47199999999998</v>
      </c>
      <c r="I252" s="200">
        <f t="shared" si="66"/>
        <v>-1.6136353606733354</v>
      </c>
      <c r="J252" s="200">
        <f t="shared" si="56"/>
        <v>159.85836463932662</v>
      </c>
      <c r="K252" s="200">
        <f t="shared" si="67"/>
        <v>1.5421511272141317</v>
      </c>
      <c r="L252" s="201">
        <f t="shared" si="68"/>
        <v>-0.28593693383681451</v>
      </c>
      <c r="M252" s="202">
        <f t="shared" si="69"/>
        <v>1.1914038909867272E-2</v>
      </c>
      <c r="N252" s="203">
        <f t="shared" si="70"/>
        <v>7.873086244789139</v>
      </c>
      <c r="O252" s="200">
        <f t="shared" si="57"/>
        <v>100.40376276570511</v>
      </c>
      <c r="P252" s="200">
        <f t="shared" si="58"/>
        <v>6.6935841843803408</v>
      </c>
      <c r="Q252" s="200">
        <f t="shared" si="59"/>
        <v>5.3064158156196592</v>
      </c>
      <c r="R252" s="200">
        <f t="shared" si="60"/>
        <v>18.693584184380342</v>
      </c>
      <c r="S252" s="204">
        <f t="shared" si="61"/>
        <v>0.29791666666666666</v>
      </c>
      <c r="T252" s="204">
        <f t="shared" si="62"/>
        <v>0.85555555555555562</v>
      </c>
      <c r="U252" s="205" t="str">
        <f t="shared" si="64"/>
        <v>E</v>
      </c>
      <c r="V252" s="272">
        <f t="shared" si="63"/>
        <v>2</v>
      </c>
      <c r="W252" s="207" t="str">
        <f>IF(Introduction!$E$7=1,CONCATENATE("🌞 ➚ ",TEXT(S252,"hh:mm")," ","➘ ",TEXT(T252,"hh:mm")),CONCATENATE("☼ ➚ ",TEXT(S252,"hh:mm")," ","➘ ",TEXT(T252,"hh:mm")))</f>
        <v>🌞 ➚ 07:09 ➘ 20:32</v>
      </c>
    </row>
    <row r="253" spans="6:23" x14ac:dyDescent="0.2">
      <c r="F253" s="198">
        <f t="shared" si="71"/>
        <v>44442</v>
      </c>
      <c r="G253" s="199">
        <f t="shared" si="65"/>
        <v>246</v>
      </c>
      <c r="H253" s="200">
        <f t="shared" si="55"/>
        <v>239.45759999999996</v>
      </c>
      <c r="I253" s="200">
        <f t="shared" si="66"/>
        <v>-1.6309321597849737</v>
      </c>
      <c r="J253" s="200">
        <f t="shared" si="56"/>
        <v>160.82666784021512</v>
      </c>
      <c r="K253" s="200">
        <f t="shared" si="67"/>
        <v>1.4783736887055718</v>
      </c>
      <c r="L253" s="201">
        <f t="shared" si="68"/>
        <v>-0.61023388431760761</v>
      </c>
      <c r="M253" s="202">
        <f t="shared" si="69"/>
        <v>2.5426411846566983E-2</v>
      </c>
      <c r="N253" s="203">
        <f t="shared" si="70"/>
        <v>7.5070557690896091</v>
      </c>
      <c r="O253" s="200">
        <f t="shared" si="57"/>
        <v>99.969222155647458</v>
      </c>
      <c r="P253" s="200">
        <f t="shared" si="58"/>
        <v>6.6646148103764968</v>
      </c>
      <c r="Q253" s="200">
        <f t="shared" si="59"/>
        <v>5.3353851896235032</v>
      </c>
      <c r="R253" s="200">
        <f t="shared" si="60"/>
        <v>18.664614810376499</v>
      </c>
      <c r="S253" s="204">
        <f t="shared" si="61"/>
        <v>0.2986111111111111</v>
      </c>
      <c r="T253" s="204">
        <f t="shared" si="62"/>
        <v>0.85416666666666663</v>
      </c>
      <c r="U253" s="205" t="str">
        <f t="shared" si="64"/>
        <v>E</v>
      </c>
      <c r="V253" s="272">
        <f t="shared" si="63"/>
        <v>2</v>
      </c>
      <c r="W253" s="207" t="str">
        <f>IF(Introduction!$E$7=1,CONCATENATE("🌞 ➚ ",TEXT(S253,"hh:mm")," ","➘ ",TEXT(T253,"hh:mm")),CONCATENATE("☼ ➚ ",TEXT(S253,"hh:mm")," ","➘ ",TEXT(T253,"hh:mm")))</f>
        <v>🌞 ➚ 07:10 ➘ 20:30</v>
      </c>
    </row>
    <row r="254" spans="6:23" x14ac:dyDescent="0.2">
      <c r="F254" s="198">
        <f t="shared" si="71"/>
        <v>44443</v>
      </c>
      <c r="G254" s="199">
        <f t="shared" si="65"/>
        <v>247</v>
      </c>
      <c r="H254" s="200">
        <f t="shared" si="55"/>
        <v>240.44320000000005</v>
      </c>
      <c r="I254" s="200">
        <f t="shared" si="66"/>
        <v>-1.6477619047737697</v>
      </c>
      <c r="J254" s="200">
        <f t="shared" si="56"/>
        <v>161.79543809522625</v>
      </c>
      <c r="K254" s="200">
        <f t="shared" si="67"/>
        <v>1.4130522852054084</v>
      </c>
      <c r="L254" s="201">
        <f t="shared" si="68"/>
        <v>-0.93883847827344535</v>
      </c>
      <c r="M254" s="202">
        <f t="shared" si="69"/>
        <v>3.9118269928060223E-2</v>
      </c>
      <c r="N254" s="203">
        <f t="shared" si="70"/>
        <v>7.139000670885574</v>
      </c>
      <c r="O254" s="200">
        <f t="shared" si="57"/>
        <v>99.533650085662345</v>
      </c>
      <c r="P254" s="200">
        <f t="shared" si="58"/>
        <v>6.63557667237749</v>
      </c>
      <c r="Q254" s="200">
        <f t="shared" si="59"/>
        <v>5.36442332762251</v>
      </c>
      <c r="R254" s="200">
        <f t="shared" si="60"/>
        <v>18.635576672377489</v>
      </c>
      <c r="S254" s="204">
        <f t="shared" si="61"/>
        <v>0.3</v>
      </c>
      <c r="T254" s="204">
        <f t="shared" si="62"/>
        <v>0.85277777777777775</v>
      </c>
      <c r="U254" s="205" t="str">
        <f t="shared" si="64"/>
        <v>E</v>
      </c>
      <c r="V254" s="272">
        <f t="shared" si="63"/>
        <v>2</v>
      </c>
      <c r="W254" s="207" t="str">
        <f>IF(Introduction!$E$7=1,CONCATENATE("🌞 ➚ ",TEXT(S254,"hh:mm")," ","➘ ",TEXT(T254,"hh:mm")),CONCATENATE("☼ ➚ ",TEXT(S254,"hh:mm")," ","➘ ",TEXT(T254,"hh:mm")))</f>
        <v>🌞 ➚ 07:12 ➘ 20:28</v>
      </c>
    </row>
    <row r="255" spans="6:23" x14ac:dyDescent="0.2">
      <c r="F255" s="198">
        <f t="shared" si="71"/>
        <v>44444</v>
      </c>
      <c r="G255" s="199">
        <f t="shared" si="65"/>
        <v>248</v>
      </c>
      <c r="H255" s="200">
        <f t="shared" si="55"/>
        <v>241.42880000000002</v>
      </c>
      <c r="I255" s="200">
        <f t="shared" si="66"/>
        <v>-1.6641193112703625</v>
      </c>
      <c r="J255" s="200">
        <f t="shared" si="56"/>
        <v>162.76468068872964</v>
      </c>
      <c r="K255" s="200">
        <f t="shared" si="67"/>
        <v>1.3462558716524593</v>
      </c>
      <c r="L255" s="201">
        <f t="shared" si="68"/>
        <v>-1.2714537584716128</v>
      </c>
      <c r="M255" s="202">
        <f t="shared" si="69"/>
        <v>5.29772399363172E-2</v>
      </c>
      <c r="N255" s="203">
        <f t="shared" si="70"/>
        <v>6.7690108198040155</v>
      </c>
      <c r="O255" s="200">
        <f t="shared" si="57"/>
        <v>99.097106280701425</v>
      </c>
      <c r="P255" s="200">
        <f t="shared" si="58"/>
        <v>6.606473752046762</v>
      </c>
      <c r="Q255" s="200">
        <f t="shared" si="59"/>
        <v>5.393526247953238</v>
      </c>
      <c r="R255" s="200">
        <f t="shared" si="60"/>
        <v>18.60647375204676</v>
      </c>
      <c r="S255" s="204">
        <f t="shared" si="61"/>
        <v>0.30069444444444443</v>
      </c>
      <c r="T255" s="204">
        <f t="shared" si="62"/>
        <v>0.85138888888888886</v>
      </c>
      <c r="U255" s="205" t="str">
        <f t="shared" si="64"/>
        <v>E</v>
      </c>
      <c r="V255" s="272">
        <f t="shared" si="63"/>
        <v>2</v>
      </c>
      <c r="W255" s="207" t="str">
        <f>IF(Introduction!$E$7=1,CONCATENATE("🌞 ➚ ",TEXT(S255,"hh:mm")," ","➘ ",TEXT(T255,"hh:mm")),CONCATENATE("☼ ➚ ",TEXT(S255,"hh:mm")," ","➘ ",TEXT(T255,"hh:mm")))</f>
        <v>🌞 ➚ 07:13 ➘ 20:26</v>
      </c>
    </row>
    <row r="256" spans="6:23" x14ac:dyDescent="0.2">
      <c r="F256" s="198">
        <f t="shared" si="71"/>
        <v>44445</v>
      </c>
      <c r="G256" s="199">
        <f t="shared" si="65"/>
        <v>249</v>
      </c>
      <c r="H256" s="200">
        <f t="shared" si="55"/>
        <v>242.4144</v>
      </c>
      <c r="I256" s="200">
        <f t="shared" si="66"/>
        <v>-1.6799992166399536</v>
      </c>
      <c r="J256" s="200">
        <f t="shared" si="56"/>
        <v>163.73440078336012</v>
      </c>
      <c r="K256" s="200">
        <f t="shared" si="67"/>
        <v>1.2780544454212437</v>
      </c>
      <c r="L256" s="201">
        <f t="shared" si="68"/>
        <v>-1.6077790848748394</v>
      </c>
      <c r="M256" s="202">
        <f t="shared" si="69"/>
        <v>6.6990795203118306E-2</v>
      </c>
      <c r="N256" s="203">
        <f t="shared" si="70"/>
        <v>6.39717622248551</v>
      </c>
      <c r="O256" s="200">
        <f t="shared" si="57"/>
        <v>98.659648345157919</v>
      </c>
      <c r="P256" s="200">
        <f t="shared" si="58"/>
        <v>6.5773098896771947</v>
      </c>
      <c r="Q256" s="200">
        <f t="shared" si="59"/>
        <v>5.4226901103228053</v>
      </c>
      <c r="R256" s="200">
        <f t="shared" si="60"/>
        <v>18.577309889677196</v>
      </c>
      <c r="S256" s="204">
        <f t="shared" si="61"/>
        <v>0.30138888888888887</v>
      </c>
      <c r="T256" s="204">
        <f t="shared" si="62"/>
        <v>0.85</v>
      </c>
      <c r="U256" s="205" t="str">
        <f t="shared" si="64"/>
        <v>E</v>
      </c>
      <c r="V256" s="272">
        <f t="shared" si="63"/>
        <v>2</v>
      </c>
      <c r="W256" s="207" t="str">
        <f>IF(Introduction!$E$7=1,CONCATENATE("🌞 ➚ ",TEXT(S256,"hh:mm")," ","➘ ",TEXT(T256,"hh:mm")),CONCATENATE("☼ ➚ ",TEXT(S256,"hh:mm")," ","➘ ",TEXT(T256,"hh:mm")))</f>
        <v>🌞 ➚ 07:14 ➘ 20:24</v>
      </c>
    </row>
    <row r="257" spans="6:23" x14ac:dyDescent="0.2">
      <c r="F257" s="198">
        <f t="shared" si="71"/>
        <v>44446</v>
      </c>
      <c r="G257" s="199">
        <f t="shared" si="65"/>
        <v>250</v>
      </c>
      <c r="H257" s="200">
        <f t="shared" si="55"/>
        <v>243.39999999999998</v>
      </c>
      <c r="I257" s="200">
        <f t="shared" si="66"/>
        <v>-1.6953965818915753</v>
      </c>
      <c r="J257" s="200">
        <f t="shared" si="56"/>
        <v>164.70460341810838</v>
      </c>
      <c r="K257" s="200">
        <f t="shared" si="67"/>
        <v>1.2085189910247796</v>
      </c>
      <c r="L257" s="201">
        <f t="shared" si="68"/>
        <v>-1.9475103634671829</v>
      </c>
      <c r="M257" s="202">
        <f t="shared" si="69"/>
        <v>8.1146265144465948E-2</v>
      </c>
      <c r="N257" s="203">
        <f t="shared" si="70"/>
        <v>6.0235870303846832</v>
      </c>
      <c r="O257" s="200">
        <f t="shared" si="57"/>
        <v>98.221331882080548</v>
      </c>
      <c r="P257" s="200">
        <f t="shared" si="58"/>
        <v>6.548088792138703</v>
      </c>
      <c r="Q257" s="200">
        <f t="shared" si="59"/>
        <v>5.451911207861297</v>
      </c>
      <c r="R257" s="200">
        <f t="shared" si="60"/>
        <v>18.548088792138703</v>
      </c>
      <c r="S257" s="204">
        <f t="shared" si="61"/>
        <v>0.30277777777777776</v>
      </c>
      <c r="T257" s="204">
        <f t="shared" si="62"/>
        <v>0.84861111111111109</v>
      </c>
      <c r="U257" s="205" t="str">
        <f t="shared" si="64"/>
        <v>E</v>
      </c>
      <c r="V257" s="272">
        <f t="shared" si="63"/>
        <v>2</v>
      </c>
      <c r="W257" s="207" t="str">
        <f>IF(Introduction!$E$7=1,CONCATENATE("🌞 ➚ ",TEXT(S257,"hh:mm")," ","➘ ",TEXT(T257,"hh:mm")),CONCATENATE("☼ ➚ ",TEXT(S257,"hh:mm")," ","➘ ",TEXT(T257,"hh:mm")))</f>
        <v>🌞 ➚ 07:16 ➘ 20:22</v>
      </c>
    </row>
    <row r="258" spans="6:23" x14ac:dyDescent="0.2">
      <c r="F258" s="198">
        <f t="shared" si="71"/>
        <v>44447</v>
      </c>
      <c r="G258" s="199">
        <f t="shared" si="65"/>
        <v>251</v>
      </c>
      <c r="H258" s="200">
        <f t="shared" si="55"/>
        <v>244.38560000000007</v>
      </c>
      <c r="I258" s="200">
        <f t="shared" si="66"/>
        <v>-1.7103064935716765</v>
      </c>
      <c r="J258" s="200">
        <f t="shared" si="56"/>
        <v>165.67529350642826</v>
      </c>
      <c r="K258" s="200">
        <f t="shared" si="67"/>
        <v>1.137721426984146</v>
      </c>
      <c r="L258" s="201">
        <f t="shared" si="68"/>
        <v>-2.290340266350122</v>
      </c>
      <c r="M258" s="202">
        <f t="shared" si="69"/>
        <v>9.5430844431255088E-2</v>
      </c>
      <c r="N258" s="203">
        <f t="shared" si="70"/>
        <v>5.6483335484867219</v>
      </c>
      <c r="O258" s="200">
        <f t="shared" si="57"/>
        <v>97.782210613035105</v>
      </c>
      <c r="P258" s="200">
        <f t="shared" si="58"/>
        <v>6.5188140408690067</v>
      </c>
      <c r="Q258" s="200">
        <f t="shared" si="59"/>
        <v>5.4811859591309933</v>
      </c>
      <c r="R258" s="200">
        <f t="shared" si="60"/>
        <v>18.518814040869007</v>
      </c>
      <c r="S258" s="204">
        <f t="shared" si="61"/>
        <v>0.3034722222222222</v>
      </c>
      <c r="T258" s="204">
        <f t="shared" si="62"/>
        <v>0.84652777777777777</v>
      </c>
      <c r="U258" s="205" t="str">
        <f t="shared" si="64"/>
        <v>E</v>
      </c>
      <c r="V258" s="272">
        <f t="shared" si="63"/>
        <v>2</v>
      </c>
      <c r="W258" s="207" t="str">
        <f>IF(Introduction!$E$7=1,CONCATENATE("🌞 ➚ ",TEXT(S258,"hh:mm")," ","➘ ",TEXT(T258,"hh:mm")),CONCATENATE("☼ ➚ ",TEXT(S258,"hh:mm")," ","➘ ",TEXT(T258,"hh:mm")))</f>
        <v>🌞 ➚ 07:17 ➘ 20:19</v>
      </c>
    </row>
    <row r="259" spans="6:23" x14ac:dyDescent="0.2">
      <c r="F259" s="198">
        <f t="shared" si="71"/>
        <v>44448</v>
      </c>
      <c r="G259" s="199">
        <f t="shared" si="65"/>
        <v>252</v>
      </c>
      <c r="H259" s="200">
        <f t="shared" si="55"/>
        <v>245.37120000000004</v>
      </c>
      <c r="I259" s="200">
        <f t="shared" si="66"/>
        <v>-1.7247241656409529</v>
      </c>
      <c r="J259" s="200">
        <f t="shared" si="56"/>
        <v>166.64647583435908</v>
      </c>
      <c r="K259" s="200">
        <f t="shared" si="67"/>
        <v>1.0657345548429609</v>
      </c>
      <c r="L259" s="201">
        <f t="shared" si="68"/>
        <v>-2.635958443191968</v>
      </c>
      <c r="M259" s="202">
        <f t="shared" si="69"/>
        <v>0.10983160179966533</v>
      </c>
      <c r="N259" s="203">
        <f t="shared" si="70"/>
        <v>5.2715062448846375</v>
      </c>
      <c r="O259" s="200">
        <f t="shared" si="57"/>
        <v>97.342336498524659</v>
      </c>
      <c r="P259" s="200">
        <f t="shared" si="58"/>
        <v>6.4894890999016441</v>
      </c>
      <c r="Q259" s="200">
        <f t="shared" si="59"/>
        <v>5.5105109000983559</v>
      </c>
      <c r="R259" s="200">
        <f t="shared" si="60"/>
        <v>18.489489099901643</v>
      </c>
      <c r="S259" s="204">
        <f t="shared" si="61"/>
        <v>0.30486111111111108</v>
      </c>
      <c r="T259" s="204">
        <f t="shared" si="62"/>
        <v>0.84513888888888899</v>
      </c>
      <c r="U259" s="205" t="str">
        <f t="shared" si="64"/>
        <v>E</v>
      </c>
      <c r="V259" s="272">
        <f t="shared" si="63"/>
        <v>2</v>
      </c>
      <c r="W259" s="207" t="str">
        <f>IF(Introduction!$E$7=1,CONCATENATE("🌞 ➚ ",TEXT(S259,"hh:mm")," ","➘ ",TEXT(T259,"hh:mm")),CONCATENATE("☼ ➚ ",TEXT(S259,"hh:mm")," ","➘ ",TEXT(T259,"hh:mm")))</f>
        <v>🌞 ➚ 07:19 ➘ 20:17</v>
      </c>
    </row>
    <row r="260" spans="6:23" x14ac:dyDescent="0.2">
      <c r="F260" s="198">
        <f t="shared" si="71"/>
        <v>44449</v>
      </c>
      <c r="G260" s="199">
        <f t="shared" si="65"/>
        <v>253</v>
      </c>
      <c r="H260" s="200">
        <f t="shared" si="55"/>
        <v>246.35680000000002</v>
      </c>
      <c r="I260" s="200">
        <f t="shared" si="66"/>
        <v>-1.7386449413334104</v>
      </c>
      <c r="J260" s="200">
        <f t="shared" si="56"/>
        <v>167.61815505866662</v>
      </c>
      <c r="K260" s="200">
        <f t="shared" si="67"/>
        <v>0.99263201028630965</v>
      </c>
      <c r="L260" s="201">
        <f t="shared" si="68"/>
        <v>-2.984051724188403</v>
      </c>
      <c r="M260" s="202">
        <f t="shared" si="69"/>
        <v>0.12433548850785013</v>
      </c>
      <c r="N260" s="203">
        <f t="shared" si="70"/>
        <v>4.8931957611597614</v>
      </c>
      <c r="O260" s="200">
        <f t="shared" si="57"/>
        <v>96.901759858893513</v>
      </c>
      <c r="P260" s="200">
        <f t="shared" si="58"/>
        <v>6.4601173239262346</v>
      </c>
      <c r="Q260" s="200">
        <f t="shared" si="59"/>
        <v>5.5398826760737654</v>
      </c>
      <c r="R260" s="200">
        <f t="shared" si="60"/>
        <v>18.460117323926234</v>
      </c>
      <c r="S260" s="204">
        <f t="shared" si="61"/>
        <v>0.30555555555555552</v>
      </c>
      <c r="T260" s="204">
        <f t="shared" si="62"/>
        <v>0.84375</v>
      </c>
      <c r="U260" s="205" t="str">
        <f t="shared" si="64"/>
        <v>E</v>
      </c>
      <c r="V260" s="272">
        <f t="shared" si="63"/>
        <v>2</v>
      </c>
      <c r="W260" s="207" t="str">
        <f>IF(Introduction!$E$7=1,CONCATENATE("🌞 ➚ ",TEXT(S260,"hh:mm")," ","➘ ",TEXT(T260,"hh:mm")),CONCATENATE("☼ ➚ ",TEXT(S260,"hh:mm")," ","➘ ",TEXT(T260,"hh:mm")))</f>
        <v>🌞 ➚ 07:20 ➘ 20:15</v>
      </c>
    </row>
    <row r="261" spans="6:23" x14ac:dyDescent="0.2">
      <c r="F261" s="198">
        <f t="shared" si="71"/>
        <v>44450</v>
      </c>
      <c r="G261" s="199">
        <f t="shared" si="65"/>
        <v>254</v>
      </c>
      <c r="H261" s="200">
        <f t="shared" si="55"/>
        <v>247.3424</v>
      </c>
      <c r="I261" s="200">
        <f t="shared" si="66"/>
        <v>-1.752064294996549</v>
      </c>
      <c r="J261" s="200">
        <f t="shared" si="56"/>
        <v>168.59033570500344</v>
      </c>
      <c r="K261" s="200">
        <f t="shared" si="67"/>
        <v>0.91848821630585387</v>
      </c>
      <c r="L261" s="201">
        <f t="shared" si="68"/>
        <v>-3.3343043147627807</v>
      </c>
      <c r="M261" s="202">
        <f t="shared" si="69"/>
        <v>0.1389293464484492</v>
      </c>
      <c r="N261" s="203">
        <f t="shared" si="70"/>
        <v>4.5134929235087036</v>
      </c>
      <c r="O261" s="200">
        <f t="shared" si="57"/>
        <v>96.460529495657937</v>
      </c>
      <c r="P261" s="200">
        <f t="shared" si="58"/>
        <v>6.430701966377196</v>
      </c>
      <c r="Q261" s="200">
        <f t="shared" si="59"/>
        <v>5.569298033622804</v>
      </c>
      <c r="R261" s="200">
        <f t="shared" si="60"/>
        <v>18.430701966377196</v>
      </c>
      <c r="S261" s="204">
        <f t="shared" si="61"/>
        <v>0.30624999999999997</v>
      </c>
      <c r="T261" s="204">
        <f t="shared" si="62"/>
        <v>0.84236111111111101</v>
      </c>
      <c r="U261" s="205" t="str">
        <f t="shared" si="64"/>
        <v>E</v>
      </c>
      <c r="V261" s="272">
        <f t="shared" si="63"/>
        <v>2</v>
      </c>
      <c r="W261" s="207" t="str">
        <f>IF(Introduction!$E$7=1,CONCATENATE("🌞 ➚ ",TEXT(S261,"hh:mm")," ","➘ ",TEXT(T261,"hh:mm")),CONCATENATE("☼ ➚ ",TEXT(S261,"hh:mm")," ","➘ ",TEXT(T261,"hh:mm")))</f>
        <v>🌞 ➚ 07:21 ➘ 20:13</v>
      </c>
    </row>
    <row r="262" spans="6:23" x14ac:dyDescent="0.2">
      <c r="F262" s="198">
        <f t="shared" si="71"/>
        <v>44451</v>
      </c>
      <c r="G262" s="199">
        <f t="shared" si="65"/>
        <v>255</v>
      </c>
      <c r="H262" s="200">
        <f t="shared" ref="H262:H325" si="72">MOD(357+0.9856*$G262,360)</f>
        <v>248.32799999999997</v>
      </c>
      <c r="I262" s="200">
        <f t="shared" si="66"/>
        <v>-1.764977833911588</v>
      </c>
      <c r="J262" s="200">
        <f t="shared" ref="J262:J325" si="73">MOD(280+$I262+0.9856*$G262,360)</f>
        <v>169.56302216608844</v>
      </c>
      <c r="K262" s="200">
        <f t="shared" si="67"/>
        <v>0.84337833833525122</v>
      </c>
      <c r="L262" s="201">
        <f t="shared" si="68"/>
        <v>-3.6863979823053472</v>
      </c>
      <c r="M262" s="202">
        <f t="shared" si="69"/>
        <v>0.15359991592938946</v>
      </c>
      <c r="N262" s="203">
        <f t="shared" si="70"/>
        <v>4.1324887545603524</v>
      </c>
      <c r="O262" s="200">
        <f t="shared" ref="O262:O325" si="74">ACOS((-0.01454-SIN(PI()/180*$N262)*SIN(PI()/180*$L$2))/(COS(PI()/180*$N262)*COS(PI()/180*$L$2)))*180/PI()</f>
        <v>96.018692813221875</v>
      </c>
      <c r="P262" s="200">
        <f t="shared" ref="P262:P325" si="75">$O262/15</f>
        <v>6.401246187548125</v>
      </c>
      <c r="Q262" s="200">
        <f t="shared" ref="Q262:Q325" si="76">12-$P262</f>
        <v>5.598753812451875</v>
      </c>
      <c r="R262" s="200">
        <f t="shared" ref="R262:R325" si="77">12+$P262</f>
        <v>18.401246187548125</v>
      </c>
      <c r="S262" s="204">
        <f t="shared" ref="S262:S325" si="78">(TRUNC($Q262+$L262/60+$L$3*4/60+$V262)+ROUND((($Q262+$L262/60+$L$3*4/60+$V262)-TRUNC($Q262+$L262/60+$L$3*4/60+$V262))*60,0)/60)/24</f>
        <v>0.30763888888888891</v>
      </c>
      <c r="T262" s="204">
        <f t="shared" ref="T262:T325" si="79">(TRUNC($R262+$L262/60+$L$3*4/60+$V262)+ROUND((($R262+$L262/60+$L$3*4/60+$V262)-TRUNC($R262+$L262/60+$L$3*4/60+$V262))*60,0)/60)/24</f>
        <v>0.84097222222222223</v>
      </c>
      <c r="U262" s="205" t="str">
        <f t="shared" si="64"/>
        <v>E</v>
      </c>
      <c r="V262" s="272">
        <f t="shared" si="63"/>
        <v>2</v>
      </c>
      <c r="W262" s="207" t="str">
        <f>IF(Introduction!$E$7=1,CONCATENATE("🌞 ➚ ",TEXT(S262,"hh:mm")," ","➘ ",TEXT(T262,"hh:mm")),CONCATENATE("☼ ➚ ",TEXT(S262,"hh:mm")," ","➘ ",TEXT(T262,"hh:mm")))</f>
        <v>🌞 ➚ 07:23 ➘ 20:11</v>
      </c>
    </row>
    <row r="263" spans="6:23" x14ac:dyDescent="0.2">
      <c r="F263" s="198">
        <f t="shared" si="71"/>
        <v>44452</v>
      </c>
      <c r="G263" s="199">
        <f t="shared" si="65"/>
        <v>256</v>
      </c>
      <c r="H263" s="200">
        <f t="shared" si="72"/>
        <v>249.31359999999995</v>
      </c>
      <c r="I263" s="200">
        <f t="shared" si="66"/>
        <v>-1.7773813000926317</v>
      </c>
      <c r="J263" s="200">
        <f t="shared" si="73"/>
        <v>170.53621869990729</v>
      </c>
      <c r="K263" s="200">
        <f t="shared" si="67"/>
        <v>0.76737824126255316</v>
      </c>
      <c r="L263" s="201">
        <f t="shared" si="68"/>
        <v>-4.0400122353203143</v>
      </c>
      <c r="M263" s="202">
        <f t="shared" si="69"/>
        <v>0.16833384313834643</v>
      </c>
      <c r="N263" s="203">
        <f t="shared" si="70"/>
        <v>3.7502744858252619</v>
      </c>
      <c r="O263" s="200">
        <f t="shared" si="74"/>
        <v>95.576295940948469</v>
      </c>
      <c r="P263" s="200">
        <f t="shared" si="75"/>
        <v>6.3717530627298977</v>
      </c>
      <c r="Q263" s="200">
        <f t="shared" si="76"/>
        <v>5.6282469372701023</v>
      </c>
      <c r="R263" s="200">
        <f t="shared" si="77"/>
        <v>18.371753062729898</v>
      </c>
      <c r="S263" s="204">
        <f t="shared" si="78"/>
        <v>0.30833333333333335</v>
      </c>
      <c r="T263" s="204">
        <f t="shared" si="79"/>
        <v>0.83958333333333324</v>
      </c>
      <c r="U263" s="205" t="str">
        <f t="shared" si="64"/>
        <v>E</v>
      </c>
      <c r="V263" s="272">
        <f t="shared" ref="V263:V326" si="80">IF(U263="H",$AC$6,$AC$7)</f>
        <v>2</v>
      </c>
      <c r="W263" s="207" t="str">
        <f>IF(Introduction!$E$7=1,CONCATENATE("🌞 ➚ ",TEXT(S263,"hh:mm")," ","➘ ",TEXT(T263,"hh:mm")),CONCATENATE("☼ ➚ ",TEXT(S263,"hh:mm")," ","➘ ",TEXT(T263,"hh:mm")))</f>
        <v>🌞 ➚ 07:24 ➘ 20:09</v>
      </c>
    </row>
    <row r="264" spans="6:23" x14ac:dyDescent="0.2">
      <c r="F264" s="198">
        <f t="shared" si="71"/>
        <v>44453</v>
      </c>
      <c r="G264" s="199">
        <f t="shared" si="65"/>
        <v>257</v>
      </c>
      <c r="H264" s="200">
        <f t="shared" si="72"/>
        <v>250.29920000000004</v>
      </c>
      <c r="I264" s="200">
        <f t="shared" si="66"/>
        <v>-1.7892705720636506</v>
      </c>
      <c r="J264" s="200">
        <f t="shared" si="73"/>
        <v>171.50992942793641</v>
      </c>
      <c r="K264" s="200">
        <f t="shared" si="67"/>
        <v>0.69056444820946006</v>
      </c>
      <c r="L264" s="201">
        <f t="shared" si="68"/>
        <v>-4.3948244954167617</v>
      </c>
      <c r="M264" s="202">
        <f t="shared" si="69"/>
        <v>0.18311768730903175</v>
      </c>
      <c r="N264" s="203">
        <f t="shared" si="70"/>
        <v>3.3669415707195385</v>
      </c>
      <c r="O264" s="200">
        <f t="shared" si="74"/>
        <v>95.133383855570699</v>
      </c>
      <c r="P264" s="200">
        <f t="shared" si="75"/>
        <v>6.3422255903713802</v>
      </c>
      <c r="Q264" s="200">
        <f t="shared" si="76"/>
        <v>5.6577744096286198</v>
      </c>
      <c r="R264" s="200">
        <f t="shared" si="77"/>
        <v>18.342225590371381</v>
      </c>
      <c r="S264" s="204">
        <f t="shared" si="78"/>
        <v>0.30972222222222223</v>
      </c>
      <c r="T264" s="204">
        <f t="shared" si="79"/>
        <v>0.83819444444444446</v>
      </c>
      <c r="U264" s="205" t="str">
        <f t="shared" ref="U264:U327" si="81">IF(YEAR($F264)=$AA$5,IF(AND($F264&gt;=$AA$6,$F264&lt;$AA$7),"E",IF(AND($F264&gt;=$AA$6,$F264&lt;$AA$7),"E","H")),IF(AND($F264&gt;=$AB$6,$F264&lt;$AB$7),"E",IF(AND($F264&gt;=$AB$6,$F264&lt;$AB$7),"E","H")))</f>
        <v>E</v>
      </c>
      <c r="V264" s="272">
        <f t="shared" si="80"/>
        <v>2</v>
      </c>
      <c r="W264" s="207" t="str">
        <f>IF(Introduction!$E$7=1,CONCATENATE("🌞 ➚ ",TEXT(S264,"hh:mm")," ","➘ ",TEXT(T264,"hh:mm")),CONCATENATE("☼ ➚ ",TEXT(S264,"hh:mm")," ","➘ ",TEXT(T264,"hh:mm")))</f>
        <v>🌞 ➚ 07:26 ➘ 20:07</v>
      </c>
    </row>
    <row r="265" spans="6:23" x14ac:dyDescent="0.2">
      <c r="F265" s="198">
        <f t="shared" si="71"/>
        <v>44454</v>
      </c>
      <c r="G265" s="199">
        <f t="shared" ref="G265:G328" si="82">F265-DATE(YEAR(F265),1,0)</f>
        <v>258</v>
      </c>
      <c r="H265" s="200">
        <f t="shared" si="72"/>
        <v>251.28480000000002</v>
      </c>
      <c r="I265" s="200">
        <f t="shared" ref="I265:I328" si="83">1.914*SIN(PI()/180*$H265)+0.02*SIN(PI()/180*2*$H265)</f>
        <v>-1.8006416666121214</v>
      </c>
      <c r="J265" s="200">
        <f t="shared" si="73"/>
        <v>172.48415833338788</v>
      </c>
      <c r="K265" s="200">
        <f t="shared" ref="K265:K328" si="84">-2.466*SIN(PI()/180*2*$J265)+0.053*SIN(PI()/180*4*$J265)</f>
        <v>0.61301410095141995</v>
      </c>
      <c r="L265" s="201">
        <f t="shared" ref="L265:L328" si="85">($I265+$K265)*4</f>
        <v>-4.7505102626428055</v>
      </c>
      <c r="M265" s="202">
        <f t="shared" ref="M265:M328" si="86">ABS($L265)/24</f>
        <v>0.19793792761011689</v>
      </c>
      <c r="N265" s="203">
        <f t="shared" ref="N265:N328" si="87">ASIN(0.3978*SIN(PI()/180*$J265))*180/PI()</f>
        <v>2.9825816981066686</v>
      </c>
      <c r="O265" s="200">
        <f t="shared" si="74"/>
        <v>94.690000503938208</v>
      </c>
      <c r="P265" s="200">
        <f t="shared" si="75"/>
        <v>6.3126667002625476</v>
      </c>
      <c r="Q265" s="200">
        <f t="shared" si="76"/>
        <v>5.6873332997374524</v>
      </c>
      <c r="R265" s="200">
        <f t="shared" si="77"/>
        <v>18.312666700262547</v>
      </c>
      <c r="S265" s="204">
        <f t="shared" si="78"/>
        <v>0.31041666666666667</v>
      </c>
      <c r="T265" s="204">
        <f t="shared" si="79"/>
        <v>0.83680555555555547</v>
      </c>
      <c r="U265" s="205" t="str">
        <f t="shared" si="81"/>
        <v>E</v>
      </c>
      <c r="V265" s="272">
        <f t="shared" si="80"/>
        <v>2</v>
      </c>
      <c r="W265" s="207" t="str">
        <f>IF(Introduction!$E$7=1,CONCATENATE("🌞 ➚ ",TEXT(S265,"hh:mm")," ","➘ ",TEXT(T265,"hh:mm")),CONCATENATE("☼ ➚ ",TEXT(S265,"hh:mm")," ","➘ ",TEXT(T265,"hh:mm")))</f>
        <v>🌞 ➚ 07:27 ➘ 20:05</v>
      </c>
    </row>
    <row r="266" spans="6:23" x14ac:dyDescent="0.2">
      <c r="F266" s="198">
        <f t="shared" ref="F266:F329" si="88">F265+1</f>
        <v>44455</v>
      </c>
      <c r="G266" s="199">
        <f t="shared" si="82"/>
        <v>259</v>
      </c>
      <c r="H266" s="200">
        <f t="shared" si="72"/>
        <v>252.2704</v>
      </c>
      <c r="I266" s="200">
        <f t="shared" si="83"/>
        <v>-1.8114907405182081</v>
      </c>
      <c r="J266" s="200">
        <f t="shared" si="73"/>
        <v>173.45890925948174</v>
      </c>
      <c r="K266" s="200">
        <f t="shared" si="84"/>
        <v>0.5348049218364247</v>
      </c>
      <c r="L266" s="201">
        <f t="shared" si="85"/>
        <v>-5.1067432747271333</v>
      </c>
      <c r="M266" s="202">
        <f t="shared" si="86"/>
        <v>0.21278096978029723</v>
      </c>
      <c r="N266" s="203">
        <f t="shared" si="87"/>
        <v>2.5972868062972418</v>
      </c>
      <c r="O266" s="200">
        <f t="shared" si="74"/>
        <v>94.246188926103471</v>
      </c>
      <c r="P266" s="200">
        <f t="shared" si="75"/>
        <v>6.2830792617402311</v>
      </c>
      <c r="Q266" s="200">
        <f t="shared" si="76"/>
        <v>5.7169207382597689</v>
      </c>
      <c r="R266" s="200">
        <f t="shared" si="77"/>
        <v>18.28307926174023</v>
      </c>
      <c r="S266" s="204">
        <f t="shared" si="78"/>
        <v>0.31111111111111112</v>
      </c>
      <c r="T266" s="204">
        <f t="shared" si="79"/>
        <v>0.83472222222222225</v>
      </c>
      <c r="U266" s="205" t="str">
        <f t="shared" si="81"/>
        <v>E</v>
      </c>
      <c r="V266" s="272">
        <f t="shared" si="80"/>
        <v>2</v>
      </c>
      <c r="W266" s="207" t="str">
        <f>IF(Introduction!$E$7=1,CONCATENATE("🌞 ➚ ",TEXT(S266,"hh:mm")," ","➘ ",TEXT(T266,"hh:mm")),CONCATENATE("☼ ➚ ",TEXT(S266,"hh:mm")," ","➘ ",TEXT(T266,"hh:mm")))</f>
        <v>🌞 ➚ 07:28 ➘ 20:02</v>
      </c>
    </row>
    <row r="267" spans="6:23" x14ac:dyDescent="0.2">
      <c r="F267" s="198">
        <f t="shared" si="88"/>
        <v>44456</v>
      </c>
      <c r="G267" s="199">
        <f t="shared" si="82"/>
        <v>260</v>
      </c>
      <c r="H267" s="200">
        <f t="shared" si="72"/>
        <v>253.25600000000009</v>
      </c>
      <c r="I267" s="200">
        <f t="shared" si="83"/>
        <v>-1.8218140922582939</v>
      </c>
      <c r="J267" s="200">
        <f t="shared" si="73"/>
        <v>174.43418590774172</v>
      </c>
      <c r="K267" s="200">
        <f t="shared" si="84"/>
        <v>0.45601517704637257</v>
      </c>
      <c r="L267" s="201">
        <f t="shared" si="85"/>
        <v>-5.4631956608476857</v>
      </c>
      <c r="M267" s="202">
        <f t="shared" si="86"/>
        <v>0.22763315253532024</v>
      </c>
      <c r="N267" s="203">
        <f t="shared" si="87"/>
        <v>2.2111490974500576</v>
      </c>
      <c r="O267" s="200">
        <f t="shared" si="74"/>
        <v>93.801991378764356</v>
      </c>
      <c r="P267" s="200">
        <f t="shared" si="75"/>
        <v>6.2534660919176241</v>
      </c>
      <c r="Q267" s="200">
        <f t="shared" si="76"/>
        <v>5.7465339080823759</v>
      </c>
      <c r="R267" s="200">
        <f t="shared" si="77"/>
        <v>18.253466091917623</v>
      </c>
      <c r="S267" s="204">
        <f t="shared" si="78"/>
        <v>0.3125</v>
      </c>
      <c r="T267" s="204">
        <f t="shared" si="79"/>
        <v>0.83333333333333337</v>
      </c>
      <c r="U267" s="205" t="str">
        <f t="shared" si="81"/>
        <v>E</v>
      </c>
      <c r="V267" s="272">
        <f t="shared" si="80"/>
        <v>2</v>
      </c>
      <c r="W267" s="207" t="str">
        <f>IF(Introduction!$E$7=1,CONCATENATE("🌞 ➚ ",TEXT(S267,"hh:mm")," ","➘ ",TEXT(T267,"hh:mm")),CONCATENATE("☼ ➚ ",TEXT(S267,"hh:mm")," ","➘ ",TEXT(T267,"hh:mm")))</f>
        <v>🌞 ➚ 07:30 ➘ 20:00</v>
      </c>
    </row>
    <row r="268" spans="6:23" x14ac:dyDescent="0.2">
      <c r="F268" s="198">
        <f t="shared" si="88"/>
        <v>44457</v>
      </c>
      <c r="G268" s="199">
        <f t="shared" si="82"/>
        <v>261</v>
      </c>
      <c r="H268" s="200">
        <f t="shared" si="72"/>
        <v>254.24160000000006</v>
      </c>
      <c r="I268" s="200">
        <f t="shared" si="83"/>
        <v>-1.8316081636816917</v>
      </c>
      <c r="J268" s="200">
        <f t="shared" si="73"/>
        <v>175.40999183631834</v>
      </c>
      <c r="K268" s="200">
        <f t="shared" si="84"/>
        <v>0.37672364103037681</v>
      </c>
      <c r="L268" s="201">
        <f t="shared" si="85"/>
        <v>-5.8195380906052598</v>
      </c>
      <c r="M268" s="202">
        <f t="shared" si="86"/>
        <v>0.24248075377521916</v>
      </c>
      <c r="N268" s="203">
        <f t="shared" si="87"/>
        <v>1.8242610523146598</v>
      </c>
      <c r="O268" s="200">
        <f t="shared" si="74"/>
        <v>93.357449459085217</v>
      </c>
      <c r="P268" s="200">
        <f t="shared" si="75"/>
        <v>6.2238299639390142</v>
      </c>
      <c r="Q268" s="200">
        <f t="shared" si="76"/>
        <v>5.7761700360609858</v>
      </c>
      <c r="R268" s="200">
        <f t="shared" si="77"/>
        <v>18.223829963939014</v>
      </c>
      <c r="S268" s="204">
        <f t="shared" si="78"/>
        <v>0.31319444444444444</v>
      </c>
      <c r="T268" s="204">
        <f t="shared" si="79"/>
        <v>0.83194444444444438</v>
      </c>
      <c r="U268" s="205" t="str">
        <f t="shared" si="81"/>
        <v>E</v>
      </c>
      <c r="V268" s="272">
        <f t="shared" si="80"/>
        <v>2</v>
      </c>
      <c r="W268" s="207" t="str">
        <f>IF(Introduction!$E$7=1,CONCATENATE("🌞 ➚ ",TEXT(S268,"hh:mm")," ","➘ ",TEXT(T268,"hh:mm")),CONCATENATE("☼ ➚ ",TEXT(S268,"hh:mm")," ","➘ ",TEXT(T268,"hh:mm")))</f>
        <v>🌞 ➚ 07:31 ➘ 19:58</v>
      </c>
    </row>
    <row r="269" spans="6:23" x14ac:dyDescent="0.2">
      <c r="F269" s="198">
        <f t="shared" si="88"/>
        <v>44458</v>
      </c>
      <c r="G269" s="199">
        <f t="shared" si="82"/>
        <v>262</v>
      </c>
      <c r="H269" s="200">
        <f t="shared" si="72"/>
        <v>255.22720000000004</v>
      </c>
      <c r="I269" s="200">
        <f t="shared" si="83"/>
        <v>-1.8408695416593712</v>
      </c>
      <c r="J269" s="200">
        <f t="shared" si="73"/>
        <v>176.38633045834058</v>
      </c>
      <c r="K269" s="200">
        <f t="shared" si="84"/>
        <v>0.29700956192665462</v>
      </c>
      <c r="L269" s="201">
        <f t="shared" si="85"/>
        <v>-6.1754399189308664</v>
      </c>
      <c r="M269" s="202">
        <f t="shared" si="86"/>
        <v>0.25730999662211945</v>
      </c>
      <c r="N269" s="203">
        <f t="shared" si="87"/>
        <v>1.4367154452559332</v>
      </c>
      <c r="O269" s="200">
        <f t="shared" si="74"/>
        <v>92.912604228926511</v>
      </c>
      <c r="P269" s="200">
        <f t="shared" si="75"/>
        <v>6.194173615261767</v>
      </c>
      <c r="Q269" s="200">
        <f t="shared" si="76"/>
        <v>5.805826384738233</v>
      </c>
      <c r="R269" s="200">
        <f t="shared" si="77"/>
        <v>18.194173615261768</v>
      </c>
      <c r="S269" s="204">
        <f t="shared" si="78"/>
        <v>0.31458333333333333</v>
      </c>
      <c r="T269" s="204">
        <f t="shared" si="79"/>
        <v>0.8305555555555556</v>
      </c>
      <c r="U269" s="205" t="str">
        <f t="shared" si="81"/>
        <v>E</v>
      </c>
      <c r="V269" s="272">
        <f t="shared" si="80"/>
        <v>2</v>
      </c>
      <c r="W269" s="207" t="str">
        <f>IF(Introduction!$E$7=1,CONCATENATE("🌞 ➚ ",TEXT(S269,"hh:mm")," ","➘ ",TEXT(T269,"hh:mm")),CONCATENATE("☼ ➚ ",TEXT(S269,"hh:mm")," ","➘ ",TEXT(T269,"hh:mm")))</f>
        <v>🌞 ➚ 07:33 ➘ 19:56</v>
      </c>
    </row>
    <row r="270" spans="6:23" x14ac:dyDescent="0.2">
      <c r="F270" s="198">
        <f t="shared" si="88"/>
        <v>44459</v>
      </c>
      <c r="G270" s="199">
        <f t="shared" si="82"/>
        <v>263</v>
      </c>
      <c r="H270" s="200">
        <f t="shared" si="72"/>
        <v>256.21280000000002</v>
      </c>
      <c r="I270" s="200">
        <f t="shared" si="83"/>
        <v>-1.8495949597034829</v>
      </c>
      <c r="J270" s="200">
        <f t="shared" si="73"/>
        <v>177.36320504029652</v>
      </c>
      <c r="K270" s="200">
        <f t="shared" si="84"/>
        <v>0.21695262777778321</v>
      </c>
      <c r="L270" s="201">
        <f t="shared" si="85"/>
        <v>-6.530569327702799</v>
      </c>
      <c r="M270" s="202">
        <f t="shared" si="86"/>
        <v>0.27210705532094998</v>
      </c>
      <c r="N270" s="203">
        <f t="shared" si="87"/>
        <v>1.0486053595012159</v>
      </c>
      <c r="O270" s="200">
        <f t="shared" si="74"/>
        <v>92.467496339519343</v>
      </c>
      <c r="P270" s="200">
        <f t="shared" si="75"/>
        <v>6.164499755967956</v>
      </c>
      <c r="Q270" s="200">
        <f t="shared" si="76"/>
        <v>5.835500244032044</v>
      </c>
      <c r="R270" s="200">
        <f t="shared" si="77"/>
        <v>18.164499755967956</v>
      </c>
      <c r="S270" s="204">
        <f t="shared" si="78"/>
        <v>0.31527777777777777</v>
      </c>
      <c r="T270" s="204">
        <f t="shared" si="79"/>
        <v>0.82916666666666661</v>
      </c>
      <c r="U270" s="205" t="str">
        <f t="shared" si="81"/>
        <v>E</v>
      </c>
      <c r="V270" s="272">
        <f t="shared" si="80"/>
        <v>2</v>
      </c>
      <c r="W270" s="207" t="str">
        <f>IF(Introduction!$E$7=1,CONCATENATE("🌞 ➚ ",TEXT(S270,"hh:mm")," ","➘ ",TEXT(T270,"hh:mm")),CONCATENATE("☼ ➚ ",TEXT(S270,"hh:mm")," ","➘ ",TEXT(T270,"hh:mm")))</f>
        <v>🌞 ➚ 07:34 ➘ 19:54</v>
      </c>
    </row>
    <row r="271" spans="6:23" x14ac:dyDescent="0.2">
      <c r="F271" s="198">
        <f t="shared" si="88"/>
        <v>44460</v>
      </c>
      <c r="G271" s="199">
        <f t="shared" si="82"/>
        <v>264</v>
      </c>
      <c r="H271" s="200">
        <f t="shared" si="72"/>
        <v>257.19839999999999</v>
      </c>
      <c r="I271" s="200">
        <f t="shared" si="83"/>
        <v>-1.8577812995564902</v>
      </c>
      <c r="J271" s="200">
        <f t="shared" si="73"/>
        <v>178.34061870044343</v>
      </c>
      <c r="K271" s="200">
        <f t="shared" si="84"/>
        <v>0.1366329333332808</v>
      </c>
      <c r="L271" s="201">
        <f t="shared" si="85"/>
        <v>-6.8845934648928377</v>
      </c>
      <c r="M271" s="202">
        <f t="shared" si="86"/>
        <v>0.28685806103720157</v>
      </c>
      <c r="N271" s="203">
        <f t="shared" si="87"/>
        <v>0.66002420254976091</v>
      </c>
      <c r="O271" s="200">
        <f t="shared" si="74"/>
        <v>92.022166156626966</v>
      </c>
      <c r="P271" s="200">
        <f t="shared" si="75"/>
        <v>6.1348110771084645</v>
      </c>
      <c r="Q271" s="200">
        <f t="shared" si="76"/>
        <v>5.8651889228915355</v>
      </c>
      <c r="R271" s="200">
        <f t="shared" si="77"/>
        <v>18.134811077108466</v>
      </c>
      <c r="S271" s="204">
        <f t="shared" si="78"/>
        <v>0.31666666666666665</v>
      </c>
      <c r="T271" s="204">
        <f t="shared" si="79"/>
        <v>0.82777777777777783</v>
      </c>
      <c r="U271" s="205" t="str">
        <f t="shared" si="81"/>
        <v>E</v>
      </c>
      <c r="V271" s="272">
        <f t="shared" si="80"/>
        <v>2</v>
      </c>
      <c r="W271" s="207" t="str">
        <f>IF(Introduction!$E$7=1,CONCATENATE("🌞 ➚ ",TEXT(S271,"hh:mm")," ","➘ ",TEXT(T271,"hh:mm")),CONCATENATE("☼ ➚ ",TEXT(S271,"hh:mm")," ","➘ ",TEXT(T271,"hh:mm")))</f>
        <v>🌞 ➚ 07:36 ➘ 19:52</v>
      </c>
    </row>
    <row r="272" spans="6:23" x14ac:dyDescent="0.2">
      <c r="F272" s="198">
        <f t="shared" si="88"/>
        <v>44461</v>
      </c>
      <c r="G272" s="199">
        <f t="shared" si="82"/>
        <v>265</v>
      </c>
      <c r="H272" s="200">
        <f t="shared" si="72"/>
        <v>258.18399999999997</v>
      </c>
      <c r="I272" s="200">
        <f t="shared" si="83"/>
        <v>-1.8654255927487058</v>
      </c>
      <c r="J272" s="200">
        <f t="shared" si="73"/>
        <v>179.31857440725139</v>
      </c>
      <c r="K272" s="200">
        <f t="shared" si="84"/>
        <v>5.6130947223542456E-2</v>
      </c>
      <c r="L272" s="201">
        <f t="shared" si="85"/>
        <v>-7.2371785821006531</v>
      </c>
      <c r="M272" s="202">
        <f t="shared" si="86"/>
        <v>0.30154910758752723</v>
      </c>
      <c r="N272" s="203">
        <f t="shared" si="87"/>
        <v>0.27106572168229626</v>
      </c>
      <c r="O272" s="200">
        <f t="shared" si="74"/>
        <v>91.576653886236613</v>
      </c>
      <c r="P272" s="200">
        <f t="shared" si="75"/>
        <v>6.1051102590824406</v>
      </c>
      <c r="Q272" s="200">
        <f t="shared" si="76"/>
        <v>5.8948897409175594</v>
      </c>
      <c r="R272" s="200">
        <f t="shared" si="77"/>
        <v>18.105110259082441</v>
      </c>
      <c r="S272" s="204">
        <f t="shared" si="78"/>
        <v>0.31736111111111115</v>
      </c>
      <c r="T272" s="204">
        <f t="shared" si="79"/>
        <v>0.82638888888888884</v>
      </c>
      <c r="U272" s="205" t="str">
        <f t="shared" si="81"/>
        <v>E</v>
      </c>
      <c r="V272" s="272">
        <f t="shared" si="80"/>
        <v>2</v>
      </c>
      <c r="W272" s="207" t="str">
        <f>IF(Introduction!$E$7=1,CONCATENATE("🌞 ➚ ",TEXT(S272,"hh:mm")," ","➘ ",TEXT(T272,"hh:mm")),CONCATENATE("☼ ➚ ",TEXT(S272,"hh:mm")," ","➘ ",TEXT(T272,"hh:mm")))</f>
        <v>🌞 ➚ 07:37 ➘ 19:50</v>
      </c>
    </row>
    <row r="273" spans="6:23" x14ac:dyDescent="0.2">
      <c r="F273" s="198">
        <f t="shared" si="88"/>
        <v>44462</v>
      </c>
      <c r="G273" s="199">
        <f t="shared" si="82"/>
        <v>266</v>
      </c>
      <c r="H273" s="200">
        <f t="shared" si="72"/>
        <v>259.16959999999995</v>
      </c>
      <c r="I273" s="200">
        <f t="shared" si="83"/>
        <v>-1.8725250221230147</v>
      </c>
      <c r="J273" s="200">
        <f t="shared" si="73"/>
        <v>180.29707497787695</v>
      </c>
      <c r="K273" s="200">
        <f t="shared" si="84"/>
        <v>-2.4472520718616102E-2</v>
      </c>
      <c r="L273" s="201">
        <f t="shared" si="85"/>
        <v>-7.5879901713665232</v>
      </c>
      <c r="M273" s="202">
        <f t="shared" si="86"/>
        <v>0.3161662571402718</v>
      </c>
      <c r="N273" s="203">
        <f t="shared" si="87"/>
        <v>-0.11817598048930152</v>
      </c>
      <c r="O273" s="200">
        <f t="shared" si="74"/>
        <v>91.130999700832447</v>
      </c>
      <c r="P273" s="200">
        <f t="shared" si="75"/>
        <v>6.0753999800554963</v>
      </c>
      <c r="Q273" s="200">
        <f t="shared" si="76"/>
        <v>5.9246000199445037</v>
      </c>
      <c r="R273" s="200">
        <f t="shared" si="77"/>
        <v>18.075399980055497</v>
      </c>
      <c r="S273" s="204">
        <f t="shared" si="78"/>
        <v>0.31805555555555554</v>
      </c>
      <c r="T273" s="204">
        <f t="shared" si="79"/>
        <v>0.82500000000000007</v>
      </c>
      <c r="U273" s="205" t="str">
        <f t="shared" si="81"/>
        <v>E</v>
      </c>
      <c r="V273" s="272">
        <f t="shared" si="80"/>
        <v>2</v>
      </c>
      <c r="W273" s="207" t="str">
        <f>IF(Introduction!$E$7=1,CONCATENATE("🌞 ➚ ",TEXT(S273,"hh:mm")," ","➘ ",TEXT(T273,"hh:mm")),CONCATENATE("☼ ➚ ",TEXT(S273,"hh:mm")," ","➘ ",TEXT(T273,"hh:mm")))</f>
        <v>🌞 ➚ 07:38 ➘ 19:48</v>
      </c>
    </row>
    <row r="274" spans="6:23" x14ac:dyDescent="0.2">
      <c r="F274" s="198">
        <f t="shared" si="88"/>
        <v>44463</v>
      </c>
      <c r="G274" s="199">
        <f t="shared" si="82"/>
        <v>267</v>
      </c>
      <c r="H274" s="200">
        <f t="shared" si="72"/>
        <v>260.15520000000004</v>
      </c>
      <c r="I274" s="200">
        <f t="shared" si="83"/>
        <v>-1.8790769233255671</v>
      </c>
      <c r="J274" s="200">
        <f t="shared" si="73"/>
        <v>181.27612307667448</v>
      </c>
      <c r="K274" s="200">
        <f t="shared" si="84"/>
        <v>-0.1050963522205457</v>
      </c>
      <c r="L274" s="201">
        <f t="shared" si="85"/>
        <v>-7.9366931021844511</v>
      </c>
      <c r="M274" s="202">
        <f t="shared" si="86"/>
        <v>0.33069554592435213</v>
      </c>
      <c r="N274" s="203">
        <f t="shared" si="87"/>
        <v>-0.50760643049749754</v>
      </c>
      <c r="O274" s="200">
        <f t="shared" si="74"/>
        <v>90.685243866296361</v>
      </c>
      <c r="P274" s="200">
        <f t="shared" si="75"/>
        <v>6.045682924419757</v>
      </c>
      <c r="Q274" s="200">
        <f t="shared" si="76"/>
        <v>5.954317075580243</v>
      </c>
      <c r="R274" s="200">
        <f t="shared" si="77"/>
        <v>18.045682924419758</v>
      </c>
      <c r="S274" s="204">
        <f t="shared" si="78"/>
        <v>0.31944444444444448</v>
      </c>
      <c r="T274" s="204">
        <f t="shared" si="79"/>
        <v>0.82291666666666663</v>
      </c>
      <c r="U274" s="205" t="str">
        <f t="shared" si="81"/>
        <v>E</v>
      </c>
      <c r="V274" s="272">
        <f t="shared" si="80"/>
        <v>2</v>
      </c>
      <c r="W274" s="207" t="str">
        <f>IF(Introduction!$E$7=1,CONCATENATE("🌞 ➚ ",TEXT(S274,"hh:mm")," ","➘ ",TEXT(T274,"hh:mm")),CONCATENATE("☼ ➚ ",TEXT(S274,"hh:mm")," ","➘ ",TEXT(T274,"hh:mm")))</f>
        <v>🌞 ➚ 07:40 ➘ 19:45</v>
      </c>
    </row>
    <row r="275" spans="6:23" x14ac:dyDescent="0.2">
      <c r="F275" s="198">
        <f t="shared" si="88"/>
        <v>44464</v>
      </c>
      <c r="G275" s="199">
        <f t="shared" si="82"/>
        <v>268</v>
      </c>
      <c r="H275" s="200">
        <f t="shared" si="72"/>
        <v>261.14080000000001</v>
      </c>
      <c r="I275" s="200">
        <f t="shared" si="83"/>
        <v>-1.8850787862612259</v>
      </c>
      <c r="J275" s="200">
        <f t="shared" si="73"/>
        <v>182.25572121373875</v>
      </c>
      <c r="K275" s="200">
        <f t="shared" si="84"/>
        <v>-0.18565915365270547</v>
      </c>
      <c r="L275" s="201">
        <f t="shared" si="85"/>
        <v>-8.2829517596557256</v>
      </c>
      <c r="M275" s="202">
        <f t="shared" si="86"/>
        <v>0.34512298998565522</v>
      </c>
      <c r="N275" s="203">
        <f t="shared" si="87"/>
        <v>-0.8971307685800527</v>
      </c>
      <c r="O275" s="200">
        <f t="shared" si="74"/>
        <v>90.23942686949114</v>
      </c>
      <c r="P275" s="200">
        <f t="shared" si="75"/>
        <v>6.015961791299409</v>
      </c>
      <c r="Q275" s="200">
        <f t="shared" si="76"/>
        <v>5.984038208700591</v>
      </c>
      <c r="R275" s="200">
        <f t="shared" si="77"/>
        <v>18.015961791299411</v>
      </c>
      <c r="S275" s="204">
        <f t="shared" si="78"/>
        <v>0.32013888888888892</v>
      </c>
      <c r="T275" s="204">
        <f t="shared" si="79"/>
        <v>0.82152777777777775</v>
      </c>
      <c r="U275" s="205" t="str">
        <f t="shared" si="81"/>
        <v>E</v>
      </c>
      <c r="V275" s="272">
        <f t="shared" si="80"/>
        <v>2</v>
      </c>
      <c r="W275" s="207" t="str">
        <f>IF(Introduction!$E$7=1,CONCATENATE("🌞 ➚ ",TEXT(S275,"hh:mm")," ","➘ ",TEXT(T275,"hh:mm")),CONCATENATE("☼ ➚ ",TEXT(S275,"hh:mm")," ","➘ ",TEXT(T275,"hh:mm")))</f>
        <v>🌞 ➚ 07:41 ➘ 19:43</v>
      </c>
    </row>
    <row r="276" spans="6:23" x14ac:dyDescent="0.2">
      <c r="F276" s="198">
        <f t="shared" si="88"/>
        <v>44465</v>
      </c>
      <c r="G276" s="199">
        <f t="shared" si="82"/>
        <v>269</v>
      </c>
      <c r="H276" s="200">
        <f t="shared" si="72"/>
        <v>262.12639999999999</v>
      </c>
      <c r="I276" s="200">
        <f t="shared" si="83"/>
        <v>-1.890528256512549</v>
      </c>
      <c r="J276" s="200">
        <f t="shared" si="73"/>
        <v>183.23587174348745</v>
      </c>
      <c r="K276" s="200">
        <f t="shared" si="84"/>
        <v>-0.26607928967376898</v>
      </c>
      <c r="L276" s="201">
        <f t="shared" si="85"/>
        <v>-8.6264301847452725</v>
      </c>
      <c r="M276" s="202">
        <f t="shared" si="86"/>
        <v>0.35943459103105302</v>
      </c>
      <c r="N276" s="203">
        <f t="shared" si="87"/>
        <v>-1.2866537333941412</v>
      </c>
      <c r="O276" s="200">
        <f t="shared" si="74"/>
        <v>89.793589546573131</v>
      </c>
      <c r="P276" s="200">
        <f t="shared" si="75"/>
        <v>5.9862393031048757</v>
      </c>
      <c r="Q276" s="200">
        <f t="shared" si="76"/>
        <v>6.0137606968951243</v>
      </c>
      <c r="R276" s="200">
        <f t="shared" si="77"/>
        <v>17.986239303104874</v>
      </c>
      <c r="S276" s="204">
        <f t="shared" si="78"/>
        <v>0.3215277777777778</v>
      </c>
      <c r="T276" s="204">
        <f t="shared" si="79"/>
        <v>0.82013888888888886</v>
      </c>
      <c r="U276" s="205" t="str">
        <f t="shared" si="81"/>
        <v>E</v>
      </c>
      <c r="V276" s="272">
        <f t="shared" si="80"/>
        <v>2</v>
      </c>
      <c r="W276" s="207" t="str">
        <f>IF(Introduction!$E$7=1,CONCATENATE("🌞 ➚ ",TEXT(S276,"hh:mm")," ","➘ ",TEXT(T276,"hh:mm")),CONCATENATE("☼ ➚ ",TEXT(S276,"hh:mm")," ","➘ ",TEXT(T276,"hh:mm")))</f>
        <v>🌞 ➚ 07:43 ➘ 19:41</v>
      </c>
    </row>
    <row r="277" spans="6:23" x14ac:dyDescent="0.2">
      <c r="F277" s="198">
        <f t="shared" si="88"/>
        <v>44466</v>
      </c>
      <c r="G277" s="199">
        <f t="shared" si="82"/>
        <v>270</v>
      </c>
      <c r="H277" s="200">
        <f t="shared" si="72"/>
        <v>263.11200000000008</v>
      </c>
      <c r="I277" s="200">
        <f t="shared" si="83"/>
        <v>-1.8954231367210812</v>
      </c>
      <c r="J277" s="200">
        <f t="shared" si="73"/>
        <v>184.21657686327899</v>
      </c>
      <c r="K277" s="200">
        <f t="shared" si="84"/>
        <v>-0.34627491768129715</v>
      </c>
      <c r="L277" s="201">
        <f t="shared" si="85"/>
        <v>-8.9667922176095125</v>
      </c>
      <c r="M277" s="202">
        <f t="shared" si="86"/>
        <v>0.37361634240039637</v>
      </c>
      <c r="N277" s="203">
        <f t="shared" si="87"/>
        <v>-1.6760796469466626</v>
      </c>
      <c r="O277" s="200">
        <f t="shared" si="74"/>
        <v>89.347773212086324</v>
      </c>
      <c r="P277" s="200">
        <f t="shared" si="75"/>
        <v>5.9565182141390887</v>
      </c>
      <c r="Q277" s="200">
        <f t="shared" si="76"/>
        <v>6.0434817858609113</v>
      </c>
      <c r="R277" s="200">
        <f t="shared" si="77"/>
        <v>17.956518214139088</v>
      </c>
      <c r="S277" s="204">
        <f t="shared" si="78"/>
        <v>0.32222222222222224</v>
      </c>
      <c r="T277" s="204">
        <f t="shared" si="79"/>
        <v>0.81874999999999998</v>
      </c>
      <c r="U277" s="205" t="str">
        <f t="shared" si="81"/>
        <v>E</v>
      </c>
      <c r="V277" s="272">
        <f t="shared" si="80"/>
        <v>2</v>
      </c>
      <c r="W277" s="207" t="str">
        <f>IF(Introduction!$E$7=1,CONCATENATE("🌞 ➚ ",TEXT(S277,"hh:mm")," ","➘ ",TEXT(T277,"hh:mm")),CONCATENATE("☼ ➚ ",TEXT(S277,"hh:mm")," ","➘ ",TEXT(T277,"hh:mm")))</f>
        <v>🌞 ➚ 07:44 ➘ 19:39</v>
      </c>
    </row>
    <row r="278" spans="6:23" x14ac:dyDescent="0.2">
      <c r="F278" s="198">
        <f t="shared" si="88"/>
        <v>44467</v>
      </c>
      <c r="G278" s="199">
        <f t="shared" si="82"/>
        <v>271</v>
      </c>
      <c r="H278" s="200">
        <f t="shared" si="72"/>
        <v>264.09760000000006</v>
      </c>
      <c r="I278" s="200">
        <f t="shared" si="83"/>
        <v>-1.8997613879297413</v>
      </c>
      <c r="J278" s="200">
        <f t="shared" si="73"/>
        <v>185.1978386120702</v>
      </c>
      <c r="K278" s="200">
        <f t="shared" si="84"/>
        <v>-0.42616402331344183</v>
      </c>
      <c r="L278" s="201">
        <f t="shared" si="85"/>
        <v>-9.3037016449727332</v>
      </c>
      <c r="M278" s="202">
        <f t="shared" si="86"/>
        <v>0.38765423520719722</v>
      </c>
      <c r="N278" s="203">
        <f t="shared" si="87"/>
        <v>-2.0653123998088581</v>
      </c>
      <c r="O278" s="200">
        <f t="shared" si="74"/>
        <v>88.902019788882839</v>
      </c>
      <c r="P278" s="200">
        <f t="shared" si="75"/>
        <v>5.926801319258856</v>
      </c>
      <c r="Q278" s="200">
        <f t="shared" si="76"/>
        <v>6.073198680741144</v>
      </c>
      <c r="R278" s="200">
        <f t="shared" si="77"/>
        <v>17.926801319258857</v>
      </c>
      <c r="S278" s="204">
        <f t="shared" si="78"/>
        <v>0.32361111111111113</v>
      </c>
      <c r="T278" s="204">
        <f t="shared" si="79"/>
        <v>0.81736111111111109</v>
      </c>
      <c r="U278" s="205" t="str">
        <f t="shared" si="81"/>
        <v>E</v>
      </c>
      <c r="V278" s="272">
        <f t="shared" si="80"/>
        <v>2</v>
      </c>
      <c r="W278" s="207" t="str">
        <f>IF(Introduction!$E$7=1,CONCATENATE("🌞 ➚ ",TEXT(S278,"hh:mm")," ","➘ ",TEXT(T278,"hh:mm")),CONCATENATE("☼ ➚ ",TEXT(S278,"hh:mm")," ","➘ ",TEXT(T278,"hh:mm")))</f>
        <v>🌞 ➚ 07:46 ➘ 19:37</v>
      </c>
    </row>
    <row r="279" spans="6:23" x14ac:dyDescent="0.2">
      <c r="F279" s="198">
        <f t="shared" si="88"/>
        <v>44468</v>
      </c>
      <c r="G279" s="199">
        <f t="shared" si="82"/>
        <v>272</v>
      </c>
      <c r="H279" s="200">
        <f t="shared" si="72"/>
        <v>265.08320000000003</v>
      </c>
      <c r="I279" s="200">
        <f t="shared" si="83"/>
        <v>-1.9035411308850874</v>
      </c>
      <c r="J279" s="200">
        <f t="shared" si="73"/>
        <v>186.17965886911497</v>
      </c>
      <c r="K279" s="200">
        <f t="shared" si="84"/>
        <v>-0.5056644572464789</v>
      </c>
      <c r="L279" s="201">
        <f t="shared" si="85"/>
        <v>-9.6368223525262646</v>
      </c>
      <c r="M279" s="202">
        <f t="shared" si="86"/>
        <v>0.40153426468859438</v>
      </c>
      <c r="N279" s="203">
        <f t="shared" si="87"/>
        <v>-2.4542554366828759</v>
      </c>
      <c r="O279" s="200">
        <f t="shared" si="74"/>
        <v>88.45637193891335</v>
      </c>
      <c r="P279" s="200">
        <f t="shared" si="75"/>
        <v>5.897091462594223</v>
      </c>
      <c r="Q279" s="200">
        <f t="shared" si="76"/>
        <v>6.102908537405777</v>
      </c>
      <c r="R279" s="200">
        <f t="shared" si="77"/>
        <v>17.897091462594222</v>
      </c>
      <c r="S279" s="204">
        <f t="shared" si="78"/>
        <v>0.32430555555555557</v>
      </c>
      <c r="T279" s="204">
        <f t="shared" si="79"/>
        <v>0.81597222222222221</v>
      </c>
      <c r="U279" s="205" t="str">
        <f t="shared" si="81"/>
        <v>E</v>
      </c>
      <c r="V279" s="272">
        <f t="shared" si="80"/>
        <v>2</v>
      </c>
      <c r="W279" s="207" t="str">
        <f>IF(Introduction!$E$7=1,CONCATENATE("🌞 ➚ ",TEXT(S279,"hh:mm")," ","➘ ",TEXT(T279,"hh:mm")),CONCATENATE("☼ ➚ ",TEXT(S279,"hh:mm")," ","➘ ",TEXT(T279,"hh:mm")))</f>
        <v>🌞 ➚ 07:47 ➘ 19:35</v>
      </c>
    </row>
    <row r="280" spans="6:23" x14ac:dyDescent="0.2">
      <c r="F280" s="198">
        <f t="shared" si="88"/>
        <v>44469</v>
      </c>
      <c r="G280" s="199">
        <f t="shared" si="82"/>
        <v>273</v>
      </c>
      <c r="H280" s="200">
        <f t="shared" si="72"/>
        <v>266.06880000000001</v>
      </c>
      <c r="I280" s="200">
        <f t="shared" si="83"/>
        <v>-1.9067606472982455</v>
      </c>
      <c r="J280" s="200">
        <f t="shared" si="73"/>
        <v>187.16203935270175</v>
      </c>
      <c r="K280" s="200">
        <f t="shared" si="84"/>
        <v>-0.58469397353084585</v>
      </c>
      <c r="L280" s="201">
        <f t="shared" si="85"/>
        <v>-9.9658184833163652</v>
      </c>
      <c r="M280" s="202">
        <f t="shared" si="86"/>
        <v>0.41524243680484857</v>
      </c>
      <c r="N280" s="203">
        <f t="shared" si="87"/>
        <v>-2.8428117423882058</v>
      </c>
      <c r="O280" s="200">
        <f t="shared" si="74"/>
        <v>88.010873194926901</v>
      </c>
      <c r="P280" s="200">
        <f t="shared" si="75"/>
        <v>5.8673915463284603</v>
      </c>
      <c r="Q280" s="200">
        <f t="shared" si="76"/>
        <v>6.1326084536715397</v>
      </c>
      <c r="R280" s="200">
        <f t="shared" si="77"/>
        <v>17.867391546328459</v>
      </c>
      <c r="S280" s="204">
        <f t="shared" si="78"/>
        <v>0.32569444444444445</v>
      </c>
      <c r="T280" s="204">
        <f t="shared" si="79"/>
        <v>0.81458333333333333</v>
      </c>
      <c r="U280" s="205" t="str">
        <f t="shared" si="81"/>
        <v>E</v>
      </c>
      <c r="V280" s="272">
        <f t="shared" si="80"/>
        <v>2</v>
      </c>
      <c r="W280" s="207" t="str">
        <f>IF(Introduction!$E$7=1,CONCATENATE("🌞 ➚ ",TEXT(S280,"hh:mm")," ","➘ ",TEXT(T280,"hh:mm")),CONCATENATE("☼ ➚ ",TEXT(S280,"hh:mm")," ","➘ ",TEXT(T280,"hh:mm")))</f>
        <v>🌞 ➚ 07:49 ➘ 19:33</v>
      </c>
    </row>
    <row r="281" spans="6:23" x14ac:dyDescent="0.2">
      <c r="F281" s="198">
        <f t="shared" si="88"/>
        <v>44470</v>
      </c>
      <c r="G281" s="199">
        <f t="shared" si="82"/>
        <v>274</v>
      </c>
      <c r="H281" s="200">
        <f t="shared" si="72"/>
        <v>267.05439999999999</v>
      </c>
      <c r="I281" s="200">
        <f t="shared" si="83"/>
        <v>-1.9094183810632968</v>
      </c>
      <c r="J281" s="200">
        <f t="shared" si="73"/>
        <v>188.14498161893675</v>
      </c>
      <c r="K281" s="200">
        <f t="shared" si="84"/>
        <v>-0.66317026970551241</v>
      </c>
      <c r="L281" s="201">
        <f t="shared" si="85"/>
        <v>-10.290354603075237</v>
      </c>
      <c r="M281" s="202">
        <f t="shared" si="86"/>
        <v>0.42876477512813488</v>
      </c>
      <c r="N281" s="203">
        <f t="shared" si="87"/>
        <v>-3.2308838283405987</v>
      </c>
      <c r="O281" s="200">
        <f t="shared" si="74"/>
        <v>87.56556809310996</v>
      </c>
      <c r="P281" s="200">
        <f t="shared" si="75"/>
        <v>5.8377045395406642</v>
      </c>
      <c r="Q281" s="200">
        <f t="shared" si="76"/>
        <v>6.1622954604593358</v>
      </c>
      <c r="R281" s="200">
        <f t="shared" si="77"/>
        <v>17.837704539540663</v>
      </c>
      <c r="S281" s="204">
        <f t="shared" si="78"/>
        <v>0.3263888888888889</v>
      </c>
      <c r="T281" s="204">
        <f t="shared" si="79"/>
        <v>0.81319444444444444</v>
      </c>
      <c r="U281" s="205" t="str">
        <f t="shared" si="81"/>
        <v>E</v>
      </c>
      <c r="V281" s="272">
        <f t="shared" si="80"/>
        <v>2</v>
      </c>
      <c r="W281" s="207" t="str">
        <f>IF(Introduction!$E$7=1,CONCATENATE("🌞 ➚ ",TEXT(S281,"hh:mm")," ","➘ ",TEXT(T281,"hh:mm")),CONCATENATE("☼ ➚ ",TEXT(S281,"hh:mm")," ","➘ ",TEXT(T281,"hh:mm")))</f>
        <v>🌞 ➚ 07:50 ➘ 19:31</v>
      </c>
    </row>
    <row r="282" spans="6:23" x14ac:dyDescent="0.2">
      <c r="F282" s="198">
        <f t="shared" si="88"/>
        <v>44471</v>
      </c>
      <c r="G282" s="199">
        <f t="shared" si="82"/>
        <v>275</v>
      </c>
      <c r="H282" s="200">
        <f t="shared" si="72"/>
        <v>268.03999999999996</v>
      </c>
      <c r="I282" s="200">
        <f t="shared" si="83"/>
        <v>-1.9115129394319208</v>
      </c>
      <c r="J282" s="200">
        <f t="shared" si="73"/>
        <v>189.12848706056809</v>
      </c>
      <c r="K282" s="200">
        <f t="shared" si="84"/>
        <v>-0.74101102892441018</v>
      </c>
      <c r="L282" s="201">
        <f t="shared" si="85"/>
        <v>-10.610095873425324</v>
      </c>
      <c r="M282" s="202">
        <f t="shared" si="86"/>
        <v>0.4420873280593885</v>
      </c>
      <c r="N282" s="203">
        <f t="shared" si="87"/>
        <v>-3.6183737195929573</v>
      </c>
      <c r="O282" s="200">
        <f t="shared" si="74"/>
        <v>87.120502306692188</v>
      </c>
      <c r="P282" s="200">
        <f t="shared" si="75"/>
        <v>5.8080334871128123</v>
      </c>
      <c r="Q282" s="200">
        <f t="shared" si="76"/>
        <v>6.1919665128871877</v>
      </c>
      <c r="R282" s="200">
        <f t="shared" si="77"/>
        <v>17.808033487112812</v>
      </c>
      <c r="S282" s="204">
        <f t="shared" si="78"/>
        <v>0.32708333333333334</v>
      </c>
      <c r="T282" s="204">
        <f t="shared" si="79"/>
        <v>0.81111111111111101</v>
      </c>
      <c r="U282" s="205" t="str">
        <f t="shared" si="81"/>
        <v>E</v>
      </c>
      <c r="V282" s="272">
        <f t="shared" si="80"/>
        <v>2</v>
      </c>
      <c r="W282" s="207" t="str">
        <f>IF(Introduction!$E$7=1,CONCATENATE("🌞 ➚ ",TEXT(S282,"hh:mm")," ","➘ ",TEXT(T282,"hh:mm")),CONCATENATE("☼ ➚ ",TEXT(S282,"hh:mm")," ","➘ ",TEXT(T282,"hh:mm")))</f>
        <v>🌞 ➚ 07:51 ➘ 19:28</v>
      </c>
    </row>
    <row r="283" spans="6:23" x14ac:dyDescent="0.2">
      <c r="F283" s="198">
        <f t="shared" si="88"/>
        <v>44472</v>
      </c>
      <c r="G283" s="199">
        <f t="shared" si="82"/>
        <v>276</v>
      </c>
      <c r="H283" s="200">
        <f t="shared" si="72"/>
        <v>269.02559999999994</v>
      </c>
      <c r="I283" s="200">
        <f t="shared" si="83"/>
        <v>-1.9130430941431027</v>
      </c>
      <c r="J283" s="200">
        <f t="shared" si="73"/>
        <v>190.11255690585688</v>
      </c>
      <c r="K283" s="200">
        <f t="shared" si="84"/>
        <v>-0.81813396432269037</v>
      </c>
      <c r="L283" s="201">
        <f t="shared" si="85"/>
        <v>-10.924708233863171</v>
      </c>
      <c r="M283" s="202">
        <f t="shared" si="86"/>
        <v>0.45519617641096549</v>
      </c>
      <c r="N283" s="203">
        <f t="shared" si="87"/>
        <v>-4.0051829425133247</v>
      </c>
      <c r="O283" s="200">
        <f t="shared" si="74"/>
        <v>86.675722780533121</v>
      </c>
      <c r="P283" s="200">
        <f t="shared" si="75"/>
        <v>5.7783815187022078</v>
      </c>
      <c r="Q283" s="200">
        <f t="shared" si="76"/>
        <v>6.2216184812977922</v>
      </c>
      <c r="R283" s="200">
        <f t="shared" si="77"/>
        <v>17.778381518702208</v>
      </c>
      <c r="S283" s="204">
        <f t="shared" si="78"/>
        <v>0.32847222222222222</v>
      </c>
      <c r="T283" s="204">
        <f t="shared" si="79"/>
        <v>0.80972222222222223</v>
      </c>
      <c r="U283" s="205" t="str">
        <f t="shared" si="81"/>
        <v>E</v>
      </c>
      <c r="V283" s="272">
        <f t="shared" si="80"/>
        <v>2</v>
      </c>
      <c r="W283" s="207" t="str">
        <f>IF(Introduction!$E$7=1,CONCATENATE("🌞 ➚ ",TEXT(S283,"hh:mm")," ","➘ ",TEXT(T283,"hh:mm")),CONCATENATE("☼ ➚ ",TEXT(S283,"hh:mm")," ","➘ ",TEXT(T283,"hh:mm")))</f>
        <v>🌞 ➚ 07:53 ➘ 19:26</v>
      </c>
    </row>
    <row r="284" spans="6:23" x14ac:dyDescent="0.2">
      <c r="F284" s="198">
        <f t="shared" si="88"/>
        <v>44473</v>
      </c>
      <c r="G284" s="199">
        <f t="shared" si="82"/>
        <v>277</v>
      </c>
      <c r="H284" s="200">
        <f t="shared" si="72"/>
        <v>270.01120000000003</v>
      </c>
      <c r="I284" s="200">
        <f t="shared" si="83"/>
        <v>-1.9140077825067225</v>
      </c>
      <c r="J284" s="200">
        <f t="shared" si="73"/>
        <v>191.09719221749333</v>
      </c>
      <c r="K284" s="200">
        <f t="shared" si="84"/>
        <v>-0.89445686584153905</v>
      </c>
      <c r="L284" s="201">
        <f t="shared" si="85"/>
        <v>-11.233858593393046</v>
      </c>
      <c r="M284" s="202">
        <f t="shared" si="86"/>
        <v>0.46807744139137691</v>
      </c>
      <c r="N284" s="203">
        <f t="shared" si="87"/>
        <v>-4.3912125131737341</v>
      </c>
      <c r="O284" s="200">
        <f t="shared" si="74"/>
        <v>86.231277866697283</v>
      </c>
      <c r="P284" s="200">
        <f t="shared" si="75"/>
        <v>5.7487518577798191</v>
      </c>
      <c r="Q284" s="200">
        <f t="shared" si="76"/>
        <v>6.2512481422201809</v>
      </c>
      <c r="R284" s="200">
        <f t="shared" si="77"/>
        <v>17.748751857779819</v>
      </c>
      <c r="S284" s="204">
        <f t="shared" si="78"/>
        <v>0.32916666666666666</v>
      </c>
      <c r="T284" s="204">
        <f t="shared" si="79"/>
        <v>0.80833333333333324</v>
      </c>
      <c r="U284" s="205" t="str">
        <f t="shared" si="81"/>
        <v>E</v>
      </c>
      <c r="V284" s="272">
        <f t="shared" si="80"/>
        <v>2</v>
      </c>
      <c r="W284" s="207" t="str">
        <f>IF(Introduction!$E$7=1,CONCATENATE("🌞 ➚ ",TEXT(S284,"hh:mm")," ","➘ ",TEXT(T284,"hh:mm")),CONCATENATE("☼ ➚ ",TEXT(S284,"hh:mm")," ","➘ ",TEXT(T284,"hh:mm")))</f>
        <v>🌞 ➚ 07:54 ➘ 19:24</v>
      </c>
    </row>
    <row r="285" spans="6:23" x14ac:dyDescent="0.2">
      <c r="F285" s="198">
        <f t="shared" si="88"/>
        <v>44474</v>
      </c>
      <c r="G285" s="199">
        <f t="shared" si="82"/>
        <v>278</v>
      </c>
      <c r="H285" s="200">
        <f t="shared" si="72"/>
        <v>270.99680000000001</v>
      </c>
      <c r="I285" s="200">
        <f t="shared" si="83"/>
        <v>-1.9144061084398487</v>
      </c>
      <c r="J285" s="200">
        <f t="shared" si="73"/>
        <v>192.08239389156017</v>
      </c>
      <c r="K285" s="200">
        <f t="shared" si="84"/>
        <v>-0.96989764972043946</v>
      </c>
      <c r="L285" s="201">
        <f t="shared" si="85"/>
        <v>-11.537215032641154</v>
      </c>
      <c r="M285" s="202">
        <f t="shared" si="86"/>
        <v>0.48071729302671473</v>
      </c>
      <c r="N285" s="203">
        <f t="shared" si="87"/>
        <v>-4.7763629265264163</v>
      </c>
      <c r="O285" s="200">
        <f t="shared" si="74"/>
        <v>85.78721746101229</v>
      </c>
      <c r="P285" s="200">
        <f t="shared" si="75"/>
        <v>5.719147830734153</v>
      </c>
      <c r="Q285" s="200">
        <f t="shared" si="76"/>
        <v>6.280852169265847</v>
      </c>
      <c r="R285" s="200">
        <f t="shared" si="77"/>
        <v>17.719147830734151</v>
      </c>
      <c r="S285" s="204">
        <f t="shared" si="78"/>
        <v>0.33055555555555555</v>
      </c>
      <c r="T285" s="204">
        <f t="shared" si="79"/>
        <v>0.80694444444444446</v>
      </c>
      <c r="U285" s="205" t="str">
        <f t="shared" si="81"/>
        <v>E</v>
      </c>
      <c r="V285" s="272">
        <f t="shared" si="80"/>
        <v>2</v>
      </c>
      <c r="W285" s="207" t="str">
        <f>IF(Introduction!$E$7=1,CONCATENATE("🌞 ➚ ",TEXT(S285,"hh:mm")," ","➘ ",TEXT(T285,"hh:mm")),CONCATENATE("☼ ➚ ",TEXT(S285,"hh:mm")," ","➘ ",TEXT(T285,"hh:mm")))</f>
        <v>🌞 ➚ 07:56 ➘ 19:22</v>
      </c>
    </row>
    <row r="286" spans="6:23" x14ac:dyDescent="0.2">
      <c r="F286" s="198">
        <f t="shared" si="88"/>
        <v>44475</v>
      </c>
      <c r="G286" s="199">
        <f t="shared" si="82"/>
        <v>279</v>
      </c>
      <c r="H286" s="200">
        <f t="shared" si="72"/>
        <v>271.98239999999998</v>
      </c>
      <c r="I286" s="200">
        <f t="shared" si="83"/>
        <v>-1.9142373434545805</v>
      </c>
      <c r="J286" s="200">
        <f t="shared" si="73"/>
        <v>193.06816265654538</v>
      </c>
      <c r="K286" s="200">
        <f t="shared" si="84"/>
        <v>-1.0443744108541866</v>
      </c>
      <c r="L286" s="201">
        <f t="shared" si="85"/>
        <v>-11.834447017235068</v>
      </c>
      <c r="M286" s="202">
        <f t="shared" si="86"/>
        <v>0.49310195905146115</v>
      </c>
      <c r="N286" s="203">
        <f t="shared" si="87"/>
        <v>-5.1605341464460528</v>
      </c>
      <c r="O286" s="200">
        <f t="shared" si="74"/>
        <v>85.343593140591224</v>
      </c>
      <c r="P286" s="200">
        <f t="shared" si="75"/>
        <v>5.6895728760394153</v>
      </c>
      <c r="Q286" s="200">
        <f t="shared" si="76"/>
        <v>6.3104271239605847</v>
      </c>
      <c r="R286" s="200">
        <f t="shared" si="77"/>
        <v>17.689572876039414</v>
      </c>
      <c r="S286" s="204">
        <f t="shared" si="78"/>
        <v>0.33124999999999999</v>
      </c>
      <c r="T286" s="204">
        <f t="shared" si="79"/>
        <v>0.80555555555555547</v>
      </c>
      <c r="U286" s="205" t="str">
        <f t="shared" si="81"/>
        <v>E</v>
      </c>
      <c r="V286" s="272">
        <f t="shared" si="80"/>
        <v>2</v>
      </c>
      <c r="W286" s="207" t="str">
        <f>IF(Introduction!$E$7=1,CONCATENATE("🌞 ➚ ",TEXT(S286,"hh:mm")," ","➘ ",TEXT(T286,"hh:mm")),CONCATENATE("☼ ➚ ",TEXT(S286,"hh:mm")," ","➘ ",TEXT(T286,"hh:mm")))</f>
        <v>🌞 ➚ 07:57 ➘ 19:20</v>
      </c>
    </row>
    <row r="287" spans="6:23" x14ac:dyDescent="0.2">
      <c r="F287" s="198">
        <f t="shared" si="88"/>
        <v>44476</v>
      </c>
      <c r="G287" s="199">
        <f t="shared" si="82"/>
        <v>280</v>
      </c>
      <c r="H287" s="200">
        <f t="shared" si="72"/>
        <v>272.96800000000007</v>
      </c>
      <c r="I287" s="200">
        <f t="shared" si="83"/>
        <v>-1.9135009275962893</v>
      </c>
      <c r="J287" s="200">
        <f t="shared" si="73"/>
        <v>194.0544990724037</v>
      </c>
      <c r="K287" s="200">
        <f t="shared" si="84"/>
        <v>-1.1178054781983413</v>
      </c>
      <c r="L287" s="201">
        <f t="shared" si="85"/>
        <v>-12.125225623178522</v>
      </c>
      <c r="M287" s="202">
        <f t="shared" si="86"/>
        <v>0.5052177342991051</v>
      </c>
      <c r="N287" s="203">
        <f t="shared" si="87"/>
        <v>-5.5436255967166179</v>
      </c>
      <c r="O287" s="200">
        <f t="shared" si="74"/>
        <v>84.900458302287461</v>
      </c>
      <c r="P287" s="200">
        <f t="shared" si="75"/>
        <v>5.6600305534858304</v>
      </c>
      <c r="Q287" s="200">
        <f t="shared" si="76"/>
        <v>6.3399694465141696</v>
      </c>
      <c r="R287" s="200">
        <f t="shared" si="77"/>
        <v>17.660030553485832</v>
      </c>
      <c r="S287" s="204">
        <f t="shared" si="78"/>
        <v>0.33263888888888887</v>
      </c>
      <c r="T287" s="204">
        <f t="shared" si="79"/>
        <v>0.8041666666666667</v>
      </c>
      <c r="U287" s="205" t="str">
        <f t="shared" si="81"/>
        <v>E</v>
      </c>
      <c r="V287" s="272">
        <f t="shared" si="80"/>
        <v>2</v>
      </c>
      <c r="W287" s="207" t="str">
        <f>IF(Introduction!$E$7=1,CONCATENATE("🌞 ➚ ",TEXT(S287,"hh:mm")," ","➘ ",TEXT(T287,"hh:mm")),CONCATENATE("☼ ➚ ",TEXT(S287,"hh:mm")," ","➘ ",TEXT(T287,"hh:mm")))</f>
        <v>🌞 ➚ 07:59 ➘ 19:18</v>
      </c>
    </row>
    <row r="288" spans="6:23" x14ac:dyDescent="0.2">
      <c r="F288" s="198">
        <f t="shared" si="88"/>
        <v>44477</v>
      </c>
      <c r="G288" s="199">
        <f t="shared" si="82"/>
        <v>281</v>
      </c>
      <c r="H288" s="200">
        <f t="shared" si="72"/>
        <v>273.95360000000005</v>
      </c>
      <c r="I288" s="200">
        <f t="shared" si="83"/>
        <v>-1.9121964703311245</v>
      </c>
      <c r="J288" s="200">
        <f t="shared" si="73"/>
        <v>195.04140352966886</v>
      </c>
      <c r="K288" s="200">
        <f t="shared" si="84"/>
        <v>-1.1901094733922937</v>
      </c>
      <c r="L288" s="201">
        <f t="shared" si="85"/>
        <v>-12.409223774893672</v>
      </c>
      <c r="M288" s="202">
        <f t="shared" si="86"/>
        <v>0.51705099062056969</v>
      </c>
      <c r="N288" s="203">
        <f t="shared" si="87"/>
        <v>-5.9255361530445896</v>
      </c>
      <c r="O288" s="200">
        <f t="shared" si="74"/>
        <v>84.457868302033262</v>
      </c>
      <c r="P288" s="200">
        <f t="shared" si="75"/>
        <v>5.6305245534688844</v>
      </c>
      <c r="Q288" s="200">
        <f t="shared" si="76"/>
        <v>6.3694754465311156</v>
      </c>
      <c r="R288" s="200">
        <f t="shared" si="77"/>
        <v>17.630524553468884</v>
      </c>
      <c r="S288" s="204">
        <f t="shared" si="78"/>
        <v>0.33333333333333331</v>
      </c>
      <c r="T288" s="204">
        <f t="shared" si="79"/>
        <v>0.8027777777777777</v>
      </c>
      <c r="U288" s="205" t="str">
        <f t="shared" si="81"/>
        <v>E</v>
      </c>
      <c r="V288" s="272">
        <f t="shared" si="80"/>
        <v>2</v>
      </c>
      <c r="W288" s="207" t="str">
        <f>IF(Introduction!$E$7=1,CONCATENATE("🌞 ➚ ",TEXT(S288,"hh:mm")," ","➘ ",TEXT(T288,"hh:mm")),CONCATENATE("☼ ➚ ",TEXT(S288,"hh:mm")," ","➘ ",TEXT(T288,"hh:mm")))</f>
        <v>🌞 ➚ 08:00 ➘ 19:16</v>
      </c>
    </row>
    <row r="289" spans="6:23" x14ac:dyDescent="0.2">
      <c r="F289" s="198">
        <f t="shared" si="88"/>
        <v>44478</v>
      </c>
      <c r="G289" s="199">
        <f t="shared" si="82"/>
        <v>282</v>
      </c>
      <c r="H289" s="200">
        <f t="shared" si="72"/>
        <v>274.93920000000003</v>
      </c>
      <c r="I289" s="200">
        <f t="shared" si="83"/>
        <v>-1.9103237513816682</v>
      </c>
      <c r="J289" s="200">
        <f t="shared" si="73"/>
        <v>196.02887624861842</v>
      </c>
      <c r="K289" s="200">
        <f t="shared" si="84"/>
        <v>-1.2612053727526984</v>
      </c>
      <c r="L289" s="201">
        <f t="shared" si="85"/>
        <v>-12.686116496537466</v>
      </c>
      <c r="M289" s="202">
        <f t="shared" si="86"/>
        <v>0.52858818735572777</v>
      </c>
      <c r="N289" s="203">
        <f t="shared" si="87"/>
        <v>-6.3061641361815592</v>
      </c>
      <c r="O289" s="200">
        <f t="shared" si="74"/>
        <v>84.015880594994954</v>
      </c>
      <c r="P289" s="200">
        <f t="shared" si="75"/>
        <v>5.6010587063329966</v>
      </c>
      <c r="Q289" s="200">
        <f t="shared" si="76"/>
        <v>6.3989412936670034</v>
      </c>
      <c r="R289" s="200">
        <f t="shared" si="77"/>
        <v>17.601058706332996</v>
      </c>
      <c r="S289" s="204">
        <f t="shared" si="78"/>
        <v>0.3347222222222222</v>
      </c>
      <c r="T289" s="204">
        <f t="shared" si="79"/>
        <v>0.80138888888888893</v>
      </c>
      <c r="U289" s="205" t="str">
        <f t="shared" si="81"/>
        <v>E</v>
      </c>
      <c r="V289" s="272">
        <f t="shared" si="80"/>
        <v>2</v>
      </c>
      <c r="W289" s="207" t="str">
        <f>IF(Introduction!$E$7=1,CONCATENATE("🌞 ➚ ",TEXT(S289,"hh:mm")," ","➘ ",TEXT(T289,"hh:mm")),CONCATENATE("☼ ➚ ",TEXT(S289,"hh:mm")," ","➘ ",TEXT(T289,"hh:mm")))</f>
        <v>🌞 ➚ 08:02 ➘ 19:14</v>
      </c>
    </row>
    <row r="290" spans="6:23" x14ac:dyDescent="0.2">
      <c r="F290" s="198">
        <f t="shared" si="88"/>
        <v>44479</v>
      </c>
      <c r="G290" s="199">
        <f t="shared" si="82"/>
        <v>283</v>
      </c>
      <c r="H290" s="200">
        <f t="shared" si="72"/>
        <v>275.9248</v>
      </c>
      <c r="I290" s="200">
        <f t="shared" si="83"/>
        <v>-1.9078827215096432</v>
      </c>
      <c r="J290" s="200">
        <f t="shared" si="73"/>
        <v>197.01691727849038</v>
      </c>
      <c r="K290" s="200">
        <f t="shared" si="84"/>
        <v>-1.3310125727721209</v>
      </c>
      <c r="L290" s="201">
        <f t="shared" si="85"/>
        <v>-12.955581177127057</v>
      </c>
      <c r="M290" s="202">
        <f t="shared" si="86"/>
        <v>0.53981588238029399</v>
      </c>
      <c r="N290" s="203">
        <f t="shared" si="87"/>
        <v>-6.6854073062401209</v>
      </c>
      <c r="O290" s="200">
        <f t="shared" si="74"/>
        <v>83.574554876459871</v>
      </c>
      <c r="P290" s="200">
        <f t="shared" si="75"/>
        <v>5.5716369917639916</v>
      </c>
      <c r="Q290" s="200">
        <f t="shared" si="76"/>
        <v>6.4283630082360084</v>
      </c>
      <c r="R290" s="200">
        <f t="shared" si="77"/>
        <v>17.571636991763992</v>
      </c>
      <c r="S290" s="204">
        <f t="shared" si="78"/>
        <v>0.3354166666666667</v>
      </c>
      <c r="T290" s="204">
        <f t="shared" si="79"/>
        <v>0.79999999999999993</v>
      </c>
      <c r="U290" s="205" t="str">
        <f t="shared" si="81"/>
        <v>E</v>
      </c>
      <c r="V290" s="272">
        <f t="shared" si="80"/>
        <v>2</v>
      </c>
      <c r="W290" s="207" t="str">
        <f>IF(Introduction!$E$7=1,CONCATENATE("🌞 ➚ ",TEXT(S290,"hh:mm")," ","➘ ",TEXT(T290,"hh:mm")),CONCATENATE("☼ ➚ ",TEXT(S290,"hh:mm")," ","➘ ",TEXT(T290,"hh:mm")))</f>
        <v>🌞 ➚ 08:03 ➘ 19:12</v>
      </c>
    </row>
    <row r="291" spans="6:23" x14ac:dyDescent="0.2">
      <c r="F291" s="198">
        <f t="shared" si="88"/>
        <v>44480</v>
      </c>
      <c r="G291" s="199">
        <f t="shared" si="82"/>
        <v>284</v>
      </c>
      <c r="H291" s="200">
        <f t="shared" si="72"/>
        <v>276.91039999999998</v>
      </c>
      <c r="I291" s="200">
        <f t="shared" si="83"/>
        <v>-1.9048735032445832</v>
      </c>
      <c r="J291" s="200">
        <f t="shared" si="73"/>
        <v>198.00552649675546</v>
      </c>
      <c r="K291" s="200">
        <f t="shared" si="84"/>
        <v>-1.399450959238836</v>
      </c>
      <c r="L291" s="201">
        <f t="shared" si="85"/>
        <v>-13.217297849933676</v>
      </c>
      <c r="M291" s="202">
        <f t="shared" si="86"/>
        <v>0.55072074374723645</v>
      </c>
      <c r="N291" s="203">
        <f t="shared" si="87"/>
        <v>-7.0631628582899832</v>
      </c>
      <c r="O291" s="200">
        <f t="shared" si="74"/>
        <v>83.13395322334658</v>
      </c>
      <c r="P291" s="200">
        <f t="shared" si="75"/>
        <v>5.5422635482231053</v>
      </c>
      <c r="Q291" s="200">
        <f t="shared" si="76"/>
        <v>6.4577364517768947</v>
      </c>
      <c r="R291" s="200">
        <f t="shared" si="77"/>
        <v>17.542263548223104</v>
      </c>
      <c r="S291" s="204">
        <f t="shared" si="78"/>
        <v>0.33680555555555558</v>
      </c>
      <c r="T291" s="204">
        <f t="shared" si="79"/>
        <v>0.79861111111111116</v>
      </c>
      <c r="U291" s="205" t="str">
        <f t="shared" si="81"/>
        <v>E</v>
      </c>
      <c r="V291" s="272">
        <f t="shared" si="80"/>
        <v>2</v>
      </c>
      <c r="W291" s="207" t="str">
        <f>IF(Introduction!$E$7=1,CONCATENATE("🌞 ➚ ",TEXT(S291,"hh:mm")," ","➘ ",TEXT(T291,"hh:mm")),CONCATENATE("☼ ➚ ",TEXT(S291,"hh:mm")," ","➘ ",TEXT(T291,"hh:mm")))</f>
        <v>🌞 ➚ 08:05 ➘ 19:10</v>
      </c>
    </row>
    <row r="292" spans="6:23" x14ac:dyDescent="0.2">
      <c r="F292" s="198">
        <f t="shared" si="88"/>
        <v>44481</v>
      </c>
      <c r="G292" s="199">
        <f t="shared" si="82"/>
        <v>285</v>
      </c>
      <c r="H292" s="200">
        <f t="shared" si="72"/>
        <v>277.89599999999996</v>
      </c>
      <c r="I292" s="200">
        <f t="shared" si="83"/>
        <v>-1.901296391557417</v>
      </c>
      <c r="J292" s="200">
        <f t="shared" si="73"/>
        <v>198.99470360844259</v>
      </c>
      <c r="K292" s="200">
        <f t="shared" si="84"/>
        <v>-1.4664409800728908</v>
      </c>
      <c r="L292" s="201">
        <f t="shared" si="85"/>
        <v>-13.470949486521231</v>
      </c>
      <c r="M292" s="202">
        <f t="shared" si="86"/>
        <v>0.56128956193838464</v>
      </c>
      <c r="N292" s="203">
        <f t="shared" si="87"/>
        <v>-7.4393274193208905</v>
      </c>
      <c r="O292" s="200">
        <f t="shared" si="74"/>
        <v>82.694140236209549</v>
      </c>
      <c r="P292" s="200">
        <f t="shared" si="75"/>
        <v>5.5129426824139696</v>
      </c>
      <c r="Q292" s="200">
        <f t="shared" si="76"/>
        <v>6.4870573175860304</v>
      </c>
      <c r="R292" s="200">
        <f t="shared" si="77"/>
        <v>17.512942682413971</v>
      </c>
      <c r="S292" s="204">
        <f t="shared" si="78"/>
        <v>0.33749999999999997</v>
      </c>
      <c r="T292" s="204">
        <f t="shared" si="79"/>
        <v>0.79722222222222217</v>
      </c>
      <c r="U292" s="205" t="str">
        <f t="shared" si="81"/>
        <v>E</v>
      </c>
      <c r="V292" s="272">
        <f t="shared" si="80"/>
        <v>2</v>
      </c>
      <c r="W292" s="207" t="str">
        <f>IF(Introduction!$E$7=1,CONCATENATE("🌞 ➚ ",TEXT(S292,"hh:mm")," ","➘ ",TEXT(T292,"hh:mm")),CONCATENATE("☼ ➚ ",TEXT(S292,"hh:mm")," ","➘ ",TEXT(T292,"hh:mm")))</f>
        <v>🌞 ➚ 08:06 ➘ 19:08</v>
      </c>
    </row>
    <row r="293" spans="6:23" x14ac:dyDescent="0.2">
      <c r="F293" s="198">
        <f t="shared" si="88"/>
        <v>44482</v>
      </c>
      <c r="G293" s="199">
        <f t="shared" si="82"/>
        <v>286</v>
      </c>
      <c r="H293" s="200">
        <f t="shared" si="72"/>
        <v>278.88159999999993</v>
      </c>
      <c r="I293" s="200">
        <f t="shared" si="83"/>
        <v>-1.8971518544779187</v>
      </c>
      <c r="J293" s="200">
        <f t="shared" si="73"/>
        <v>199.98444814552204</v>
      </c>
      <c r="K293" s="200">
        <f t="shared" si="84"/>
        <v>-1.5319037219522034</v>
      </c>
      <c r="L293" s="201">
        <f t="shared" si="85"/>
        <v>-13.716222305720489</v>
      </c>
      <c r="M293" s="202">
        <f t="shared" si="86"/>
        <v>0.57150926273835367</v>
      </c>
      <c r="N293" s="203">
        <f t="shared" si="87"/>
        <v>-7.813797046662545</v>
      </c>
      <c r="O293" s="200">
        <f t="shared" si="74"/>
        <v>82.255183181581103</v>
      </c>
      <c r="P293" s="200">
        <f t="shared" si="75"/>
        <v>5.4836788787720732</v>
      </c>
      <c r="Q293" s="200">
        <f t="shared" si="76"/>
        <v>6.5163211212279268</v>
      </c>
      <c r="R293" s="200">
        <f t="shared" si="77"/>
        <v>17.483678878772075</v>
      </c>
      <c r="S293" s="204">
        <f t="shared" si="78"/>
        <v>0.33888888888888885</v>
      </c>
      <c r="T293" s="204">
        <f t="shared" si="79"/>
        <v>0.79583333333333339</v>
      </c>
      <c r="U293" s="205" t="str">
        <f t="shared" si="81"/>
        <v>E</v>
      </c>
      <c r="V293" s="272">
        <f t="shared" si="80"/>
        <v>2</v>
      </c>
      <c r="W293" s="207" t="str">
        <f>IF(Introduction!$E$7=1,CONCATENATE("🌞 ➚ ",TEXT(S293,"hh:mm")," ","➘ ",TEXT(T293,"hh:mm")),CONCATENATE("☼ ➚ ",TEXT(S293,"hh:mm")," ","➘ ",TEXT(T293,"hh:mm")))</f>
        <v>🌞 ➚ 08:08 ➘ 19:06</v>
      </c>
    </row>
    <row r="294" spans="6:23" x14ac:dyDescent="0.2">
      <c r="F294" s="198">
        <f t="shared" si="88"/>
        <v>44483</v>
      </c>
      <c r="G294" s="199">
        <f t="shared" si="82"/>
        <v>287</v>
      </c>
      <c r="H294" s="200">
        <f t="shared" si="72"/>
        <v>279.86720000000003</v>
      </c>
      <c r="I294" s="200">
        <f t="shared" si="83"/>
        <v>-1.892440533655007</v>
      </c>
      <c r="J294" s="200">
        <f t="shared" si="73"/>
        <v>200.97475946634495</v>
      </c>
      <c r="K294" s="200">
        <f t="shared" si="84"/>
        <v>-1.5957609907792989</v>
      </c>
      <c r="L294" s="201">
        <f t="shared" si="85"/>
        <v>-13.952806097737223</v>
      </c>
      <c r="M294" s="202">
        <f t="shared" si="86"/>
        <v>0.58136692073905094</v>
      </c>
      <c r="N294" s="203">
        <f t="shared" si="87"/>
        <v>-8.1864672279513879</v>
      </c>
      <c r="O294" s="200">
        <f t="shared" si="74"/>
        <v>81.817152134469026</v>
      </c>
      <c r="P294" s="200">
        <f t="shared" si="75"/>
        <v>5.4544768089646016</v>
      </c>
      <c r="Q294" s="200">
        <f t="shared" si="76"/>
        <v>6.5455231910353984</v>
      </c>
      <c r="R294" s="200">
        <f t="shared" si="77"/>
        <v>17.4544768089646</v>
      </c>
      <c r="S294" s="204">
        <f t="shared" si="78"/>
        <v>0.33958333333333335</v>
      </c>
      <c r="T294" s="204">
        <f t="shared" si="79"/>
        <v>0.7944444444444444</v>
      </c>
      <c r="U294" s="205" t="str">
        <f t="shared" si="81"/>
        <v>E</v>
      </c>
      <c r="V294" s="272">
        <f t="shared" si="80"/>
        <v>2</v>
      </c>
      <c r="W294" s="207" t="str">
        <f>IF(Introduction!$E$7=1,CONCATENATE("🌞 ➚ ",TEXT(S294,"hh:mm")," ","➘ ",TEXT(T294,"hh:mm")),CONCATENATE("☼ ➚ ",TEXT(S294,"hh:mm")," ","➘ ",TEXT(T294,"hh:mm")))</f>
        <v>🌞 ➚ 08:09 ➘ 19:04</v>
      </c>
    </row>
    <row r="295" spans="6:23" x14ac:dyDescent="0.2">
      <c r="F295" s="198">
        <f t="shared" si="88"/>
        <v>44484</v>
      </c>
      <c r="G295" s="199">
        <f t="shared" si="82"/>
        <v>288</v>
      </c>
      <c r="H295" s="200">
        <f t="shared" si="72"/>
        <v>280.8528</v>
      </c>
      <c r="I295" s="200">
        <f t="shared" si="83"/>
        <v>-1.8871632448589117</v>
      </c>
      <c r="J295" s="200">
        <f t="shared" si="73"/>
        <v>201.96563675514108</v>
      </c>
      <c r="K295" s="200">
        <f t="shared" si="84"/>
        <v>-1.6579353960155394</v>
      </c>
      <c r="L295" s="201">
        <f t="shared" si="85"/>
        <v>-14.180394563497805</v>
      </c>
      <c r="M295" s="202">
        <f t="shared" si="86"/>
        <v>0.59084977347907519</v>
      </c>
      <c r="N295" s="203">
        <f t="shared" si="87"/>
        <v>-8.557232882736395</v>
      </c>
      <c r="O295" s="200">
        <f t="shared" si="74"/>
        <v>81.380120120797841</v>
      </c>
      <c r="P295" s="200">
        <f t="shared" si="75"/>
        <v>5.425341341386523</v>
      </c>
      <c r="Q295" s="200">
        <f t="shared" si="76"/>
        <v>6.574658658613477</v>
      </c>
      <c r="R295" s="200">
        <f t="shared" si="77"/>
        <v>17.425341341386524</v>
      </c>
      <c r="S295" s="204">
        <f t="shared" si="78"/>
        <v>0.34097222222222223</v>
      </c>
      <c r="T295" s="204">
        <f t="shared" si="79"/>
        <v>0.79305555555555562</v>
      </c>
      <c r="U295" s="205" t="str">
        <f t="shared" si="81"/>
        <v>E</v>
      </c>
      <c r="V295" s="272">
        <f t="shared" si="80"/>
        <v>2</v>
      </c>
      <c r="W295" s="207" t="str">
        <f>IF(Introduction!$E$7=1,CONCATENATE("🌞 ➚ ",TEXT(S295,"hh:mm")," ","➘ ",TEXT(T295,"hh:mm")),CONCATENATE("☼ ➚ ",TEXT(S295,"hh:mm")," ","➘ ",TEXT(T295,"hh:mm")))</f>
        <v>🌞 ➚ 08:11 ➘ 19:02</v>
      </c>
    </row>
    <row r="296" spans="6:23" x14ac:dyDescent="0.2">
      <c r="F296" s="198">
        <f t="shared" si="88"/>
        <v>44485</v>
      </c>
      <c r="G296" s="199">
        <f t="shared" si="82"/>
        <v>289</v>
      </c>
      <c r="H296" s="200">
        <f t="shared" si="72"/>
        <v>281.83840000000009</v>
      </c>
      <c r="I296" s="200">
        <f t="shared" si="83"/>
        <v>-1.8813209784242202</v>
      </c>
      <c r="J296" s="200">
        <f t="shared" si="73"/>
        <v>202.95707902157574</v>
      </c>
      <c r="K296" s="200">
        <f t="shared" si="84"/>
        <v>-1.7183504388847812</v>
      </c>
      <c r="L296" s="201">
        <f t="shared" si="85"/>
        <v>-14.398685669236006</v>
      </c>
      <c r="M296" s="202">
        <f t="shared" si="86"/>
        <v>0.59994523621816687</v>
      </c>
      <c r="N296" s="203">
        <f t="shared" si="87"/>
        <v>-8.9259883658168526</v>
      </c>
      <c r="O296" s="200">
        <f t="shared" si="74"/>
        <v>80.944163259550351</v>
      </c>
      <c r="P296" s="200">
        <f t="shared" si="75"/>
        <v>5.3962775506366905</v>
      </c>
      <c r="Q296" s="200">
        <f t="shared" si="76"/>
        <v>6.6037224493633095</v>
      </c>
      <c r="R296" s="200">
        <f t="shared" si="77"/>
        <v>17.39627755063669</v>
      </c>
      <c r="S296" s="204">
        <f t="shared" si="78"/>
        <v>0.34166666666666662</v>
      </c>
      <c r="T296" s="204">
        <f t="shared" si="79"/>
        <v>0.79166666666666663</v>
      </c>
      <c r="U296" s="205" t="str">
        <f t="shared" si="81"/>
        <v>E</v>
      </c>
      <c r="V296" s="272">
        <f t="shared" si="80"/>
        <v>2</v>
      </c>
      <c r="W296" s="207" t="str">
        <f>IF(Introduction!$E$7=1,CONCATENATE("🌞 ➚ ",TEXT(S296,"hh:mm")," ","➘ ",TEXT(T296,"hh:mm")),CONCATENATE("☼ ➚ ",TEXT(S296,"hh:mm")," ","➘ ",TEXT(T296,"hh:mm")))</f>
        <v>🌞 ➚ 08:12 ➘ 19:00</v>
      </c>
    </row>
    <row r="297" spans="6:23" x14ac:dyDescent="0.2">
      <c r="F297" s="198">
        <f t="shared" si="88"/>
        <v>44486</v>
      </c>
      <c r="G297" s="199">
        <f t="shared" si="82"/>
        <v>290</v>
      </c>
      <c r="H297" s="200">
        <f t="shared" si="72"/>
        <v>282.82400000000007</v>
      </c>
      <c r="I297" s="200">
        <f t="shared" si="83"/>
        <v>-1.8749148996328846</v>
      </c>
      <c r="J297" s="200">
        <f t="shared" si="73"/>
        <v>203.94908510036714</v>
      </c>
      <c r="K297" s="200">
        <f t="shared" si="84"/>
        <v>-1.776930604422764</v>
      </c>
      <c r="L297" s="201">
        <f t="shared" si="85"/>
        <v>-14.607382016222594</v>
      </c>
      <c r="M297" s="202">
        <f t="shared" si="86"/>
        <v>0.60864091734260806</v>
      </c>
      <c r="N297" s="203">
        <f t="shared" si="87"/>
        <v>-9.2926274724064957</v>
      </c>
      <c r="O297" s="200">
        <f t="shared" si="74"/>
        <v>80.509360904333121</v>
      </c>
      <c r="P297" s="200">
        <f t="shared" si="75"/>
        <v>5.3672907269555417</v>
      </c>
      <c r="Q297" s="200">
        <f t="shared" si="76"/>
        <v>6.6327092730444583</v>
      </c>
      <c r="R297" s="200">
        <f t="shared" si="77"/>
        <v>17.367290726955542</v>
      </c>
      <c r="S297" s="204">
        <f t="shared" si="78"/>
        <v>0.3430555555555555</v>
      </c>
      <c r="T297" s="204">
        <f t="shared" si="79"/>
        <v>0.79027777777777775</v>
      </c>
      <c r="U297" s="205" t="str">
        <f t="shared" si="81"/>
        <v>E</v>
      </c>
      <c r="V297" s="272">
        <f t="shared" si="80"/>
        <v>2</v>
      </c>
      <c r="W297" s="207" t="str">
        <f>IF(Introduction!$E$7=1,CONCATENATE("🌞 ➚ ",TEXT(S297,"hh:mm")," ","➘ ",TEXT(T297,"hh:mm")),CONCATENATE("☼ ➚ ",TEXT(S297,"hh:mm")," ","➘ ",TEXT(T297,"hh:mm")))</f>
        <v>🌞 ➚ 08:14 ➘ 18:58</v>
      </c>
    </row>
    <row r="298" spans="6:23" x14ac:dyDescent="0.2">
      <c r="F298" s="198">
        <f t="shared" si="88"/>
        <v>44487</v>
      </c>
      <c r="G298" s="199">
        <f t="shared" si="82"/>
        <v>291</v>
      </c>
      <c r="H298" s="200">
        <f t="shared" si="72"/>
        <v>283.80960000000005</v>
      </c>
      <c r="I298" s="200">
        <f t="shared" si="83"/>
        <v>-1.8679463490362573</v>
      </c>
      <c r="J298" s="200">
        <f t="shared" si="73"/>
        <v>204.94165365096376</v>
      </c>
      <c r="K298" s="200">
        <f t="shared" si="84"/>
        <v>-1.8336014573219661</v>
      </c>
      <c r="L298" s="201">
        <f t="shared" si="85"/>
        <v>-14.806191225432894</v>
      </c>
      <c r="M298" s="202">
        <f t="shared" si="86"/>
        <v>0.61692463439303724</v>
      </c>
      <c r="N298" s="203">
        <f t="shared" si="87"/>
        <v>-9.6570434452182301</v>
      </c>
      <c r="O298" s="200">
        <f t="shared" si="74"/>
        <v>80.075795784054407</v>
      </c>
      <c r="P298" s="200">
        <f t="shared" si="75"/>
        <v>5.3383863856036271</v>
      </c>
      <c r="Q298" s="200">
        <f t="shared" si="76"/>
        <v>6.6616136143963729</v>
      </c>
      <c r="R298" s="200">
        <f t="shared" si="77"/>
        <v>17.338386385603627</v>
      </c>
      <c r="S298" s="204">
        <f t="shared" si="78"/>
        <v>0.34375</v>
      </c>
      <c r="T298" s="204">
        <f t="shared" si="79"/>
        <v>0.78888888888888886</v>
      </c>
      <c r="U298" s="205" t="str">
        <f t="shared" si="81"/>
        <v>E</v>
      </c>
      <c r="V298" s="272">
        <f t="shared" si="80"/>
        <v>2</v>
      </c>
      <c r="W298" s="207" t="str">
        <f>IF(Introduction!$E$7=1,CONCATENATE("🌞 ➚ ",TEXT(S298,"hh:mm")," ","➘ ",TEXT(T298,"hh:mm")),CONCATENATE("☼ ➚ ",TEXT(S298,"hh:mm")," ","➘ ",TEXT(T298,"hh:mm")))</f>
        <v>🌞 ➚ 08:15 ➘ 18:56</v>
      </c>
    </row>
    <row r="299" spans="6:23" x14ac:dyDescent="0.2">
      <c r="F299" s="198">
        <f t="shared" si="88"/>
        <v>44488</v>
      </c>
      <c r="G299" s="199">
        <f t="shared" si="82"/>
        <v>292</v>
      </c>
      <c r="H299" s="200">
        <f t="shared" si="72"/>
        <v>284.79520000000002</v>
      </c>
      <c r="I299" s="200">
        <f t="shared" si="83"/>
        <v>-1.8604168427152856</v>
      </c>
      <c r="J299" s="200">
        <f t="shared" si="73"/>
        <v>205.93478315728476</v>
      </c>
      <c r="K299" s="200">
        <f t="shared" si="84"/>
        <v>-1.8882897414949373</v>
      </c>
      <c r="L299" s="201">
        <f t="shared" si="85"/>
        <v>-14.994826336840891</v>
      </c>
      <c r="M299" s="202">
        <f t="shared" si="86"/>
        <v>0.62478443070170375</v>
      </c>
      <c r="N299" s="203">
        <f t="shared" si="87"/>
        <v>-10.01912898356602</v>
      </c>
      <c r="O299" s="200">
        <f t="shared" si="74"/>
        <v>79.643554142363996</v>
      </c>
      <c r="P299" s="200">
        <f t="shared" si="75"/>
        <v>5.3095702761575998</v>
      </c>
      <c r="Q299" s="200">
        <f t="shared" si="76"/>
        <v>6.6904297238424002</v>
      </c>
      <c r="R299" s="200">
        <f t="shared" si="77"/>
        <v>17.309570276157601</v>
      </c>
      <c r="S299" s="204">
        <f t="shared" si="78"/>
        <v>0.34513888888888888</v>
      </c>
      <c r="T299" s="204">
        <f t="shared" si="79"/>
        <v>0.78749999999999998</v>
      </c>
      <c r="U299" s="205" t="str">
        <f t="shared" si="81"/>
        <v>E</v>
      </c>
      <c r="V299" s="272">
        <f t="shared" si="80"/>
        <v>2</v>
      </c>
      <c r="W299" s="207" t="str">
        <f>IF(Introduction!$E$7=1,CONCATENATE("🌞 ➚ ",TEXT(S299,"hh:mm")," ","➘ ",TEXT(T299,"hh:mm")),CONCATENATE("☼ ➚ ",TEXT(S299,"hh:mm")," ","➘ ",TEXT(T299,"hh:mm")))</f>
        <v>🌞 ➚ 08:17 ➘ 18:54</v>
      </c>
    </row>
    <row r="300" spans="6:23" x14ac:dyDescent="0.2">
      <c r="F300" s="198">
        <f t="shared" si="88"/>
        <v>44489</v>
      </c>
      <c r="G300" s="199">
        <f t="shared" si="82"/>
        <v>293</v>
      </c>
      <c r="H300" s="200">
        <f t="shared" si="72"/>
        <v>285.7808</v>
      </c>
      <c r="I300" s="200">
        <f t="shared" si="83"/>
        <v>-1.8523280724779998</v>
      </c>
      <c r="J300" s="200">
        <f t="shared" si="73"/>
        <v>206.92847192752197</v>
      </c>
      <c r="K300" s="200">
        <f t="shared" si="84"/>
        <v>-1.9409234832513607</v>
      </c>
      <c r="L300" s="201">
        <f t="shared" si="85"/>
        <v>-15.173006222917442</v>
      </c>
      <c r="M300" s="202">
        <f t="shared" si="86"/>
        <v>0.63220859262156004</v>
      </c>
      <c r="N300" s="203">
        <f t="shared" si="87"/>
        <v>-10.378776254578971</v>
      </c>
      <c r="O300" s="200">
        <f t="shared" si="74"/>
        <v>79.212725875466546</v>
      </c>
      <c r="P300" s="200">
        <f t="shared" si="75"/>
        <v>5.28084839169777</v>
      </c>
      <c r="Q300" s="200">
        <f t="shared" si="76"/>
        <v>6.71915160830223</v>
      </c>
      <c r="R300" s="200">
        <f t="shared" si="77"/>
        <v>17.28084839169777</v>
      </c>
      <c r="S300" s="204">
        <f t="shared" si="78"/>
        <v>0.34652777777777777</v>
      </c>
      <c r="T300" s="204">
        <f t="shared" si="79"/>
        <v>0.78611111111111109</v>
      </c>
      <c r="U300" s="205" t="str">
        <f t="shared" si="81"/>
        <v>E</v>
      </c>
      <c r="V300" s="272">
        <f t="shared" si="80"/>
        <v>2</v>
      </c>
      <c r="W300" s="207" t="str">
        <f>IF(Introduction!$E$7=1,CONCATENATE("🌞 ➚ ",TEXT(S300,"hh:mm")," ","➘ ",TEXT(T300,"hh:mm")),CONCATENATE("☼ ➚ ",TEXT(S300,"hh:mm")," ","➘ ",TEXT(T300,"hh:mm")))</f>
        <v>🌞 ➚ 08:19 ➘ 18:52</v>
      </c>
    </row>
    <row r="301" spans="6:23" x14ac:dyDescent="0.2">
      <c r="F301" s="198">
        <f t="shared" si="88"/>
        <v>44490</v>
      </c>
      <c r="G301" s="199">
        <f t="shared" si="82"/>
        <v>294</v>
      </c>
      <c r="H301" s="200">
        <f t="shared" si="72"/>
        <v>286.76639999999998</v>
      </c>
      <c r="I301" s="200">
        <f t="shared" si="83"/>
        <v>-1.8436819059934759</v>
      </c>
      <c r="J301" s="200">
        <f t="shared" si="73"/>
        <v>207.92271809400654</v>
      </c>
      <c r="K301" s="200">
        <f t="shared" si="84"/>
        <v>-1.9914320979566078</v>
      </c>
      <c r="L301" s="201">
        <f t="shared" si="85"/>
        <v>-15.340456015800335</v>
      </c>
      <c r="M301" s="202">
        <f t="shared" si="86"/>
        <v>0.63918566732501392</v>
      </c>
      <c r="N301" s="203">
        <f t="shared" si="87"/>
        <v>-10.735876906624581</v>
      </c>
      <c r="O301" s="200">
        <f t="shared" si="74"/>
        <v>78.783404667876155</v>
      </c>
      <c r="P301" s="200">
        <f t="shared" si="75"/>
        <v>5.2522269778584105</v>
      </c>
      <c r="Q301" s="200">
        <f t="shared" si="76"/>
        <v>6.7477730221415895</v>
      </c>
      <c r="R301" s="200">
        <f t="shared" si="77"/>
        <v>17.25222697785841</v>
      </c>
      <c r="S301" s="204">
        <f t="shared" si="78"/>
        <v>0.34722222222222227</v>
      </c>
      <c r="T301" s="204">
        <f t="shared" si="79"/>
        <v>0.78472222222222221</v>
      </c>
      <c r="U301" s="205" t="str">
        <f t="shared" si="81"/>
        <v>E</v>
      </c>
      <c r="V301" s="272">
        <f t="shared" si="80"/>
        <v>2</v>
      </c>
      <c r="W301" s="207" t="str">
        <f>IF(Introduction!$E$7=1,CONCATENATE("🌞 ➚ ",TEXT(S301,"hh:mm")," ","➘ ",TEXT(T301,"hh:mm")),CONCATENATE("☼ ➚ ",TEXT(S301,"hh:mm")," ","➘ ",TEXT(T301,"hh:mm")))</f>
        <v>🌞 ➚ 08:20 ➘ 18:50</v>
      </c>
    </row>
    <row r="302" spans="6:23" x14ac:dyDescent="0.2">
      <c r="F302" s="198">
        <f t="shared" si="88"/>
        <v>44491</v>
      </c>
      <c r="G302" s="199">
        <f t="shared" si="82"/>
        <v>295</v>
      </c>
      <c r="H302" s="200">
        <f t="shared" si="72"/>
        <v>287.75199999999995</v>
      </c>
      <c r="I302" s="200">
        <f t="shared" si="83"/>
        <v>-1.8344803868614887</v>
      </c>
      <c r="J302" s="200">
        <f t="shared" si="73"/>
        <v>208.91751961313844</v>
      </c>
      <c r="K302" s="200">
        <f t="shared" si="84"/>
        <v>-2.0397465000113382</v>
      </c>
      <c r="L302" s="201">
        <f t="shared" si="85"/>
        <v>-15.496907547491308</v>
      </c>
      <c r="M302" s="202">
        <f t="shared" si="86"/>
        <v>0.64570448114547119</v>
      </c>
      <c r="N302" s="203">
        <f t="shared" si="87"/>
        <v>-11.090322085036233</v>
      </c>
      <c r="O302" s="200">
        <f t="shared" si="74"/>
        <v>78.355688125638125</v>
      </c>
      <c r="P302" s="200">
        <f t="shared" si="75"/>
        <v>5.2237125417092081</v>
      </c>
      <c r="Q302" s="200">
        <f t="shared" si="76"/>
        <v>6.7762874582907919</v>
      </c>
      <c r="R302" s="200">
        <f t="shared" si="77"/>
        <v>17.223712541709208</v>
      </c>
      <c r="S302" s="204">
        <f t="shared" si="78"/>
        <v>0.34861111111111115</v>
      </c>
      <c r="T302" s="204">
        <f t="shared" si="79"/>
        <v>0.78402777777777777</v>
      </c>
      <c r="U302" s="205" t="str">
        <f t="shared" si="81"/>
        <v>E</v>
      </c>
      <c r="V302" s="272">
        <f t="shared" si="80"/>
        <v>2</v>
      </c>
      <c r="W302" s="207" t="str">
        <f>IF(Introduction!$E$7=1,CONCATENATE("🌞 ➚ ",TEXT(S302,"hh:mm")," ","➘ ",TEXT(T302,"hh:mm")),CONCATENATE("☼ ➚ ",TEXT(S302,"hh:mm")," ","➘ ",TEXT(T302,"hh:mm")))</f>
        <v>🌞 ➚ 08:22 ➘ 18:49</v>
      </c>
    </row>
    <row r="303" spans="6:23" x14ac:dyDescent="0.2">
      <c r="F303" s="198">
        <f t="shared" si="88"/>
        <v>44492</v>
      </c>
      <c r="G303" s="199">
        <f t="shared" si="82"/>
        <v>296</v>
      </c>
      <c r="H303" s="200">
        <f t="shared" si="72"/>
        <v>288.73759999999993</v>
      </c>
      <c r="I303" s="200">
        <f t="shared" si="83"/>
        <v>-1.82472573461708</v>
      </c>
      <c r="J303" s="200">
        <f t="shared" si="73"/>
        <v>209.91287426538292</v>
      </c>
      <c r="K303" s="200">
        <f t="shared" si="84"/>
        <v>-2.0857992159640317</v>
      </c>
      <c r="L303" s="201">
        <f t="shared" si="85"/>
        <v>-15.642099802324447</v>
      </c>
      <c r="M303" s="202">
        <f t="shared" si="86"/>
        <v>0.65175415843018525</v>
      </c>
      <c r="N303" s="203">
        <f t="shared" si="87"/>
        <v>-11.442002450241617</v>
      </c>
      <c r="O303" s="200">
        <f t="shared" si="74"/>
        <v>77.929677906495101</v>
      </c>
      <c r="P303" s="200">
        <f t="shared" si="75"/>
        <v>5.1953118604330069</v>
      </c>
      <c r="Q303" s="200">
        <f t="shared" si="76"/>
        <v>6.8046881395669931</v>
      </c>
      <c r="R303" s="200">
        <f t="shared" si="77"/>
        <v>17.195311860433009</v>
      </c>
      <c r="S303" s="204">
        <f t="shared" si="78"/>
        <v>0.34930555555555554</v>
      </c>
      <c r="T303" s="204">
        <f t="shared" si="79"/>
        <v>0.78263888888888899</v>
      </c>
      <c r="U303" s="205" t="str">
        <f t="shared" si="81"/>
        <v>E</v>
      </c>
      <c r="V303" s="272">
        <f t="shared" si="80"/>
        <v>2</v>
      </c>
      <c r="W303" s="207" t="str">
        <f>IF(Introduction!$E$7=1,CONCATENATE("🌞 ➚ ",TEXT(S303,"hh:mm")," ","➘ ",TEXT(T303,"hh:mm")),CONCATENATE("☼ ➚ ",TEXT(S303,"hh:mm")," ","➘ ",TEXT(T303,"hh:mm")))</f>
        <v>🌞 ➚ 08:23 ➘ 18:47</v>
      </c>
    </row>
    <row r="304" spans="6:23" x14ac:dyDescent="0.2">
      <c r="F304" s="198">
        <f t="shared" si="88"/>
        <v>44493</v>
      </c>
      <c r="G304" s="199">
        <f t="shared" si="82"/>
        <v>297</v>
      </c>
      <c r="H304" s="200">
        <f t="shared" si="72"/>
        <v>289.72320000000002</v>
      </c>
      <c r="I304" s="200">
        <f t="shared" si="83"/>
        <v>-1.8144203446693432</v>
      </c>
      <c r="J304" s="200">
        <f t="shared" si="73"/>
        <v>210.9087796553307</v>
      </c>
      <c r="K304" s="200">
        <f t="shared" si="84"/>
        <v>-2.1295245005401209</v>
      </c>
      <c r="L304" s="201">
        <f t="shared" si="85"/>
        <v>-15.775779380837857</v>
      </c>
      <c r="M304" s="202">
        <f t="shared" si="86"/>
        <v>0.65732414086824409</v>
      </c>
      <c r="N304" s="203">
        <f t="shared" si="87"/>
        <v>-11.790808198385241</v>
      </c>
      <c r="O304" s="200">
        <f t="shared" si="74"/>
        <v>77.505479846430873</v>
      </c>
      <c r="P304" s="200">
        <f t="shared" si="75"/>
        <v>5.1670319897620578</v>
      </c>
      <c r="Q304" s="200">
        <f t="shared" si="76"/>
        <v>6.8329680102379422</v>
      </c>
      <c r="R304" s="200">
        <f t="shared" si="77"/>
        <v>17.167031989762059</v>
      </c>
      <c r="S304" s="204">
        <f t="shared" si="78"/>
        <v>0.35069444444444442</v>
      </c>
      <c r="T304" s="204">
        <f t="shared" si="79"/>
        <v>0.78125</v>
      </c>
      <c r="U304" s="205" t="str">
        <f t="shared" si="81"/>
        <v>E</v>
      </c>
      <c r="V304" s="272">
        <f t="shared" si="80"/>
        <v>2</v>
      </c>
      <c r="W304" s="207" t="str">
        <f>IF(Introduction!$E$7=1,CONCATENATE("🌞 ➚ ",TEXT(S304,"hh:mm")," ","➘ ",TEXT(T304,"hh:mm")),CONCATENATE("☼ ➚ ",TEXT(S304,"hh:mm")," ","➘ ",TEXT(T304,"hh:mm")))</f>
        <v>🌞 ➚ 08:25 ➘ 18:45</v>
      </c>
    </row>
    <row r="305" spans="6:23" x14ac:dyDescent="0.2">
      <c r="F305" s="198">
        <f t="shared" si="88"/>
        <v>44494</v>
      </c>
      <c r="G305" s="199">
        <f t="shared" si="82"/>
        <v>298</v>
      </c>
      <c r="H305" s="200">
        <f t="shared" si="72"/>
        <v>290.7088</v>
      </c>
      <c r="I305" s="200">
        <f t="shared" si="83"/>
        <v>-1.803566788173723</v>
      </c>
      <c r="J305" s="200">
        <f t="shared" si="73"/>
        <v>211.90523321182627</v>
      </c>
      <c r="K305" s="200">
        <f t="shared" si="84"/>
        <v>-2.1708584553441912</v>
      </c>
      <c r="L305" s="201">
        <f t="shared" si="85"/>
        <v>-15.897700974071657</v>
      </c>
      <c r="M305" s="202">
        <f t="shared" si="86"/>
        <v>0.66240420725298577</v>
      </c>
      <c r="N305" s="203">
        <f t="shared" si="87"/>
        <v>-12.136629084539798</v>
      </c>
      <c r="O305" s="200">
        <f t="shared" si="74"/>
        <v>77.083204081971658</v>
      </c>
      <c r="P305" s="200">
        <f t="shared" si="75"/>
        <v>5.1388802721314439</v>
      </c>
      <c r="Q305" s="200">
        <f t="shared" si="76"/>
        <v>6.8611197278685561</v>
      </c>
      <c r="R305" s="200">
        <f t="shared" si="77"/>
        <v>17.138880272131445</v>
      </c>
      <c r="S305" s="204">
        <f t="shared" si="78"/>
        <v>0.35138888888888892</v>
      </c>
      <c r="T305" s="204">
        <f t="shared" si="79"/>
        <v>0.77986111111111101</v>
      </c>
      <c r="U305" s="205" t="str">
        <f t="shared" si="81"/>
        <v>E</v>
      </c>
      <c r="V305" s="272">
        <f t="shared" si="80"/>
        <v>2</v>
      </c>
      <c r="W305" s="207" t="str">
        <f>IF(Introduction!$E$7=1,CONCATENATE("🌞 ➚ ",TEXT(S305,"hh:mm")," ","➘ ",TEXT(T305,"hh:mm")),CONCATENATE("☼ ➚ ",TEXT(S305,"hh:mm")," ","➘ ",TEXT(T305,"hh:mm")))</f>
        <v>🌞 ➚ 08:26 ➘ 18:43</v>
      </c>
    </row>
    <row r="306" spans="6:23" x14ac:dyDescent="0.2">
      <c r="F306" s="198">
        <f t="shared" si="88"/>
        <v>44495</v>
      </c>
      <c r="G306" s="199">
        <f t="shared" si="82"/>
        <v>299</v>
      </c>
      <c r="H306" s="200">
        <f t="shared" si="72"/>
        <v>291.69440000000009</v>
      </c>
      <c r="I306" s="200">
        <f t="shared" si="83"/>
        <v>-1.7921678118371727</v>
      </c>
      <c r="J306" s="200">
        <f t="shared" si="73"/>
        <v>212.90223218816288</v>
      </c>
      <c r="K306" s="200">
        <f t="shared" si="84"/>
        <v>-2.2097391499643053</v>
      </c>
      <c r="L306" s="201">
        <f t="shared" si="85"/>
        <v>-16.00762784720591</v>
      </c>
      <c r="M306" s="202">
        <f t="shared" si="86"/>
        <v>0.66698449363357959</v>
      </c>
      <c r="N306" s="203">
        <f t="shared" si="87"/>
        <v>-12.479354448597269</v>
      </c>
      <c r="O306" s="200">
        <f t="shared" si="74"/>
        <v>76.662965167577113</v>
      </c>
      <c r="P306" s="200">
        <f t="shared" si="75"/>
        <v>5.1108643445051412</v>
      </c>
      <c r="Q306" s="200">
        <f t="shared" si="76"/>
        <v>6.8891356554948588</v>
      </c>
      <c r="R306" s="200">
        <f t="shared" si="77"/>
        <v>17.110864344505142</v>
      </c>
      <c r="S306" s="204">
        <f t="shared" si="78"/>
        <v>0.3527777777777778</v>
      </c>
      <c r="T306" s="204">
        <f t="shared" si="79"/>
        <v>0.77847222222222223</v>
      </c>
      <c r="U306" s="205" t="str">
        <f t="shared" si="81"/>
        <v>E</v>
      </c>
      <c r="V306" s="272">
        <f t="shared" si="80"/>
        <v>2</v>
      </c>
      <c r="W306" s="207" t="str">
        <f>IF(Introduction!$E$7=1,CONCATENATE("🌞 ➚ ",TEXT(S306,"hh:mm")," ","➘ ",TEXT(T306,"hh:mm")),CONCATENATE("☼ ➚ ",TEXT(S306,"hh:mm")," ","➘ ",TEXT(T306,"hh:mm")))</f>
        <v>🌞 ➚ 08:28 ➘ 18:41</v>
      </c>
    </row>
    <row r="307" spans="6:23" x14ac:dyDescent="0.2">
      <c r="F307" s="198">
        <f t="shared" si="88"/>
        <v>44496</v>
      </c>
      <c r="G307" s="199">
        <f t="shared" si="82"/>
        <v>300</v>
      </c>
      <c r="H307" s="200">
        <f t="shared" si="72"/>
        <v>292.68000000000006</v>
      </c>
      <c r="I307" s="200">
        <f t="shared" si="83"/>
        <v>-1.7802263376555847</v>
      </c>
      <c r="J307" s="200">
        <f t="shared" si="73"/>
        <v>213.89977366234439</v>
      </c>
      <c r="K307" s="200">
        <f t="shared" si="84"/>
        <v>-2.2461067451810068</v>
      </c>
      <c r="L307" s="201">
        <f t="shared" si="85"/>
        <v>-16.105332331346368</v>
      </c>
      <c r="M307" s="202">
        <f t="shared" si="86"/>
        <v>0.67105551380609862</v>
      </c>
      <c r="N307" s="203">
        <f t="shared" si="87"/>
        <v>-12.818873243929016</v>
      </c>
      <c r="O307" s="200">
        <f t="shared" si="74"/>
        <v>76.24488218739971</v>
      </c>
      <c r="P307" s="200">
        <f t="shared" si="75"/>
        <v>5.0829921458266476</v>
      </c>
      <c r="Q307" s="200">
        <f t="shared" si="76"/>
        <v>6.9170078541733524</v>
      </c>
      <c r="R307" s="200">
        <f t="shared" si="77"/>
        <v>17.082992145826648</v>
      </c>
      <c r="S307" s="204">
        <f t="shared" si="78"/>
        <v>0.35416666666666669</v>
      </c>
      <c r="T307" s="204">
        <f t="shared" si="79"/>
        <v>0.77708333333333324</v>
      </c>
      <c r="U307" s="205" t="str">
        <f t="shared" si="81"/>
        <v>E</v>
      </c>
      <c r="V307" s="272">
        <f t="shared" si="80"/>
        <v>2</v>
      </c>
      <c r="W307" s="207" t="str">
        <f>IF(Introduction!$E$7=1,CONCATENATE("🌞 ➚ ",TEXT(S307,"hh:mm")," ","➘ ",TEXT(T307,"hh:mm")),CONCATENATE("☼ ➚ ",TEXT(S307,"hh:mm")," ","➘ ",TEXT(T307,"hh:mm")))</f>
        <v>🌞 ➚ 08:30 ➘ 18:39</v>
      </c>
    </row>
    <row r="308" spans="6:23" x14ac:dyDescent="0.2">
      <c r="F308" s="198">
        <f t="shared" si="88"/>
        <v>44497</v>
      </c>
      <c r="G308" s="199">
        <f t="shared" si="82"/>
        <v>301</v>
      </c>
      <c r="H308" s="200">
        <f t="shared" si="72"/>
        <v>293.66560000000004</v>
      </c>
      <c r="I308" s="200">
        <f t="shared" si="83"/>
        <v>-1.767745462582887</v>
      </c>
      <c r="J308" s="200">
        <f t="shared" si="73"/>
        <v>214.89785453741706</v>
      </c>
      <c r="K308" s="200">
        <f t="shared" si="84"/>
        <v>-2.2799036179579288</v>
      </c>
      <c r="L308" s="201">
        <f t="shared" si="85"/>
        <v>-16.190596322163262</v>
      </c>
      <c r="M308" s="202">
        <f t="shared" si="86"/>
        <v>0.6746081800901359</v>
      </c>
      <c r="N308" s="203">
        <f t="shared" si="87"/>
        <v>-13.155074068902717</v>
      </c>
      <c r="O308" s="200">
        <f t="shared" si="74"/>
        <v>75.829078860637651</v>
      </c>
      <c r="P308" s="200">
        <f t="shared" si="75"/>
        <v>5.0552719240425104</v>
      </c>
      <c r="Q308" s="200">
        <f t="shared" si="76"/>
        <v>6.9447280759574896</v>
      </c>
      <c r="R308" s="200">
        <f t="shared" si="77"/>
        <v>17.055271924042511</v>
      </c>
      <c r="S308" s="204">
        <f t="shared" si="78"/>
        <v>0.35486111111111113</v>
      </c>
      <c r="T308" s="204">
        <f t="shared" si="79"/>
        <v>0.77638888888888891</v>
      </c>
      <c r="U308" s="205" t="str">
        <f t="shared" si="81"/>
        <v>E</v>
      </c>
      <c r="V308" s="272">
        <f t="shared" si="80"/>
        <v>2</v>
      </c>
      <c r="W308" s="207" t="str">
        <f>IF(Introduction!$E$7=1,CONCATENATE("🌞 ➚ ",TEXT(S308,"hh:mm")," ","➘ ",TEXT(T308,"hh:mm")),CONCATENATE("☼ ➚ ",TEXT(S308,"hh:mm")," ","➘ ",TEXT(T308,"hh:mm")))</f>
        <v>🌞 ➚ 08:31 ➘ 18:38</v>
      </c>
    </row>
    <row r="309" spans="6:23" x14ac:dyDescent="0.2">
      <c r="F309" s="198">
        <f t="shared" si="88"/>
        <v>44498</v>
      </c>
      <c r="G309" s="199">
        <f t="shared" si="82"/>
        <v>302</v>
      </c>
      <c r="H309" s="200">
        <f t="shared" si="72"/>
        <v>294.65120000000002</v>
      </c>
      <c r="I309" s="200">
        <f t="shared" si="83"/>
        <v>-1.7547284581312987</v>
      </c>
      <c r="J309" s="200">
        <f t="shared" si="73"/>
        <v>215.89647154186878</v>
      </c>
      <c r="K309" s="200">
        <f t="shared" si="84"/>
        <v>-2.3110744878657328</v>
      </c>
      <c r="L309" s="201">
        <f t="shared" si="85"/>
        <v>-16.263211783988126</v>
      </c>
      <c r="M309" s="202">
        <f t="shared" si="86"/>
        <v>0.67763382433283859</v>
      </c>
      <c r="N309" s="203">
        <f t="shared" si="87"/>
        <v>-13.487845201338398</v>
      </c>
      <c r="O309" s="200">
        <f t="shared" si="74"/>
        <v>75.415683639654802</v>
      </c>
      <c r="P309" s="200">
        <f t="shared" si="75"/>
        <v>5.0277122426436538</v>
      </c>
      <c r="Q309" s="200">
        <f t="shared" si="76"/>
        <v>6.9722877573563462</v>
      </c>
      <c r="R309" s="200">
        <f t="shared" si="77"/>
        <v>17.027712242643652</v>
      </c>
      <c r="S309" s="204">
        <f t="shared" si="78"/>
        <v>0.35625000000000001</v>
      </c>
      <c r="T309" s="204">
        <f t="shared" si="79"/>
        <v>0.77500000000000002</v>
      </c>
      <c r="U309" s="205" t="str">
        <f t="shared" si="81"/>
        <v>E</v>
      </c>
      <c r="V309" s="272">
        <f t="shared" si="80"/>
        <v>2</v>
      </c>
      <c r="W309" s="207" t="str">
        <f>IF(Introduction!$E$7=1,CONCATENATE("🌞 ➚ ",TEXT(S309,"hh:mm")," ","➘ ",TEXT(T309,"hh:mm")),CONCATENATE("☼ ➚ ",TEXT(S309,"hh:mm")," ","➘ ",TEXT(T309,"hh:mm")))</f>
        <v>🌞 ➚ 08:33 ➘ 18:36</v>
      </c>
    </row>
    <row r="310" spans="6:23" x14ac:dyDescent="0.2">
      <c r="F310" s="198">
        <f t="shared" si="88"/>
        <v>44499</v>
      </c>
      <c r="G310" s="199">
        <f t="shared" si="82"/>
        <v>303</v>
      </c>
      <c r="H310" s="200">
        <f t="shared" si="72"/>
        <v>295.63679999999999</v>
      </c>
      <c r="I310" s="200">
        <f t="shared" si="83"/>
        <v>-1.7411787699022341</v>
      </c>
      <c r="J310" s="200">
        <f t="shared" si="73"/>
        <v>216.89562123009773</v>
      </c>
      <c r="K310" s="200">
        <f t="shared" si="84"/>
        <v>-2.3395665445675005</v>
      </c>
      <c r="L310" s="201">
        <f t="shared" si="85"/>
        <v>-16.322981257878936</v>
      </c>
      <c r="M310" s="202">
        <f t="shared" si="86"/>
        <v>0.68012421907828902</v>
      </c>
      <c r="N310" s="203">
        <f t="shared" si="87"/>
        <v>-13.817074635983907</v>
      </c>
      <c r="O310" s="200">
        <f t="shared" si="74"/>
        <v>75.004829799985373</v>
      </c>
      <c r="P310" s="200">
        <f t="shared" si="75"/>
        <v>5.0003219866656918</v>
      </c>
      <c r="Q310" s="200">
        <f t="shared" si="76"/>
        <v>6.9996780133343082</v>
      </c>
      <c r="R310" s="200">
        <f t="shared" si="77"/>
        <v>17.000321986665693</v>
      </c>
      <c r="S310" s="204">
        <f t="shared" si="78"/>
        <v>0.35694444444444445</v>
      </c>
      <c r="T310" s="204">
        <f t="shared" si="79"/>
        <v>0.77361111111111114</v>
      </c>
      <c r="U310" s="205" t="str">
        <f t="shared" si="81"/>
        <v>E</v>
      </c>
      <c r="V310" s="272">
        <f t="shared" si="80"/>
        <v>2</v>
      </c>
      <c r="W310" s="207" t="str">
        <f>IF(Introduction!$E$7=1,CONCATENATE("🌞 ➚ ",TEXT(S310,"hh:mm")," ","➘ ",TEXT(T310,"hh:mm")),CONCATENATE("☼ ➚ ",TEXT(S310,"hh:mm")," ","➘ ",TEXT(T310,"hh:mm")))</f>
        <v>🌞 ➚ 08:34 ➘ 18:34</v>
      </c>
    </row>
    <row r="311" spans="6:23" x14ac:dyDescent="0.2">
      <c r="F311" s="198">
        <f t="shared" si="88"/>
        <v>44500</v>
      </c>
      <c r="G311" s="199">
        <f t="shared" si="82"/>
        <v>304</v>
      </c>
      <c r="H311" s="200">
        <f t="shared" si="72"/>
        <v>296.62239999999997</v>
      </c>
      <c r="I311" s="200">
        <f t="shared" si="83"/>
        <v>-1.7271000170474191</v>
      </c>
      <c r="J311" s="200">
        <f t="shared" si="73"/>
        <v>217.89529998295257</v>
      </c>
      <c r="K311" s="200">
        <f t="shared" si="84"/>
        <v>-2.3653295759710273</v>
      </c>
      <c r="L311" s="201">
        <f t="shared" si="85"/>
        <v>-16.369718372073784</v>
      </c>
      <c r="M311" s="202">
        <f t="shared" si="86"/>
        <v>0.68207159883640767</v>
      </c>
      <c r="N311" s="203">
        <f t="shared" si="87"/>
        <v>-14.142650125085577</v>
      </c>
      <c r="O311" s="200">
        <f t="shared" si="74"/>
        <v>74.596655521288213</v>
      </c>
      <c r="P311" s="200">
        <f t="shared" si="75"/>
        <v>4.973110368085881</v>
      </c>
      <c r="Q311" s="200">
        <f t="shared" si="76"/>
        <v>7.026889631914119</v>
      </c>
      <c r="R311" s="200">
        <f t="shared" si="77"/>
        <v>16.97311036808588</v>
      </c>
      <c r="S311" s="204">
        <f t="shared" si="78"/>
        <v>0.31666666666666665</v>
      </c>
      <c r="T311" s="204">
        <f t="shared" si="79"/>
        <v>0.73125000000000007</v>
      </c>
      <c r="U311" s="205" t="str">
        <f t="shared" si="81"/>
        <v>H</v>
      </c>
      <c r="V311" s="272">
        <f t="shared" si="80"/>
        <v>1</v>
      </c>
      <c r="W311" s="207" t="str">
        <f>IF(Introduction!$E$7=1,CONCATENATE("🌞 ➚ ",TEXT(S311,"hh:mm")," ","➘ ",TEXT(T311,"hh:mm")),CONCATENATE("☼ ➚ ",TEXT(S311,"hh:mm")," ","➘ ",TEXT(T311,"hh:mm")))</f>
        <v>🌞 ➚ 07:36 ➘ 17:33</v>
      </c>
    </row>
    <row r="312" spans="6:23" x14ac:dyDescent="0.2">
      <c r="F312" s="198">
        <f t="shared" si="88"/>
        <v>44501</v>
      </c>
      <c r="G312" s="199">
        <f t="shared" si="82"/>
        <v>305</v>
      </c>
      <c r="H312" s="200">
        <f t="shared" si="72"/>
        <v>297.60799999999995</v>
      </c>
      <c r="I312" s="200">
        <f t="shared" si="83"/>
        <v>-1.7124959916597911</v>
      </c>
      <c r="J312" s="200">
        <f t="shared" si="73"/>
        <v>218.89550400834014</v>
      </c>
      <c r="K312" s="200">
        <f t="shared" si="84"/>
        <v>-2.3883160966320345</v>
      </c>
      <c r="L312" s="201">
        <f t="shared" si="85"/>
        <v>-16.403248353167303</v>
      </c>
      <c r="M312" s="202">
        <f t="shared" si="86"/>
        <v>0.68346868138197092</v>
      </c>
      <c r="N312" s="203">
        <f t="shared" si="87"/>
        <v>-14.464459222122803</v>
      </c>
      <c r="O312" s="200">
        <f t="shared" si="74"/>
        <v>74.19130395826447</v>
      </c>
      <c r="P312" s="200">
        <f t="shared" si="75"/>
        <v>4.9460869305509645</v>
      </c>
      <c r="Q312" s="200">
        <f t="shared" si="76"/>
        <v>7.0539130694490355</v>
      </c>
      <c r="R312" s="200">
        <f t="shared" si="77"/>
        <v>16.946086930550965</v>
      </c>
      <c r="S312" s="204">
        <f t="shared" si="78"/>
        <v>0.31736111111111115</v>
      </c>
      <c r="T312" s="204">
        <f t="shared" si="79"/>
        <v>0.72986111111111107</v>
      </c>
      <c r="U312" s="205" t="str">
        <f t="shared" si="81"/>
        <v>H</v>
      </c>
      <c r="V312" s="272">
        <f t="shared" si="80"/>
        <v>1</v>
      </c>
      <c r="W312" s="207" t="str">
        <f>IF(Introduction!$E$7=1,CONCATENATE("🌞 ➚ ",TEXT(S312,"hh:mm")," ","➘ ",TEXT(T312,"hh:mm")),CONCATENATE("☼ ➚ ",TEXT(S312,"hh:mm")," ","➘ ",TEXT(T312,"hh:mm")))</f>
        <v>🌞 ➚ 07:37 ➘ 17:31</v>
      </c>
    </row>
    <row r="313" spans="6:23" x14ac:dyDescent="0.2">
      <c r="F313" s="198">
        <f t="shared" si="88"/>
        <v>44502</v>
      </c>
      <c r="G313" s="199">
        <f t="shared" si="82"/>
        <v>306</v>
      </c>
      <c r="H313" s="200">
        <f t="shared" si="72"/>
        <v>298.59360000000004</v>
      </c>
      <c r="I313" s="200">
        <f t="shared" si="83"/>
        <v>-1.6973706580938301</v>
      </c>
      <c r="J313" s="200">
        <f t="shared" si="73"/>
        <v>219.89622934190629</v>
      </c>
      <c r="K313" s="200">
        <f t="shared" si="84"/>
        <v>-2.4084814759728235</v>
      </c>
      <c r="L313" s="201">
        <f t="shared" si="85"/>
        <v>-16.423408536266614</v>
      </c>
      <c r="M313" s="202">
        <f t="shared" si="86"/>
        <v>0.68430868901110886</v>
      </c>
      <c r="N313" s="203">
        <f t="shared" si="87"/>
        <v>-14.782389328772314</v>
      </c>
      <c r="O313" s="200">
        <f t="shared" si="74"/>
        <v>73.788923300498581</v>
      </c>
      <c r="P313" s="200">
        <f t="shared" si="75"/>
        <v>4.9192615533665718</v>
      </c>
      <c r="Q313" s="200">
        <f t="shared" si="76"/>
        <v>7.0807384466334282</v>
      </c>
      <c r="R313" s="200">
        <f t="shared" si="77"/>
        <v>16.919261553366571</v>
      </c>
      <c r="S313" s="204">
        <f t="shared" si="78"/>
        <v>0.31875000000000003</v>
      </c>
      <c r="T313" s="204">
        <f t="shared" si="79"/>
        <v>0.7284722222222223</v>
      </c>
      <c r="U313" s="205" t="str">
        <f t="shared" si="81"/>
        <v>H</v>
      </c>
      <c r="V313" s="272">
        <f t="shared" si="80"/>
        <v>1</v>
      </c>
      <c r="W313" s="207" t="str">
        <f>IF(Introduction!$E$7=1,CONCATENATE("🌞 ➚ ",TEXT(S313,"hh:mm")," ","➘ ",TEXT(T313,"hh:mm")),CONCATENATE("☼ ➚ ",TEXT(S313,"hh:mm")," ","➘ ",TEXT(T313,"hh:mm")))</f>
        <v>🌞 ➚ 07:39 ➘ 17:29</v>
      </c>
    </row>
    <row r="314" spans="6:23" x14ac:dyDescent="0.2">
      <c r="F314" s="198">
        <f t="shared" si="88"/>
        <v>44503</v>
      </c>
      <c r="G314" s="199">
        <f t="shared" si="82"/>
        <v>307</v>
      </c>
      <c r="H314" s="200">
        <f t="shared" si="72"/>
        <v>299.57920000000001</v>
      </c>
      <c r="I314" s="200">
        <f t="shared" si="83"/>
        <v>-1.6817281522150089</v>
      </c>
      <c r="J314" s="200">
        <f t="shared" si="73"/>
        <v>220.89747184778503</v>
      </c>
      <c r="K314" s="200">
        <f t="shared" si="84"/>
        <v>-2.4257840658625529</v>
      </c>
      <c r="L314" s="201">
        <f t="shared" si="85"/>
        <v>-16.430048872310248</v>
      </c>
      <c r="M314" s="202">
        <f t="shared" si="86"/>
        <v>0.68458536967959371</v>
      </c>
      <c r="N314" s="203">
        <f t="shared" si="87"/>
        <v>-15.096327745158534</v>
      </c>
      <c r="O314" s="200">
        <f t="shared" si="74"/>
        <v>73.389666820136682</v>
      </c>
      <c r="P314" s="200">
        <f t="shared" si="75"/>
        <v>4.8926444546757786</v>
      </c>
      <c r="Q314" s="200">
        <f t="shared" si="76"/>
        <v>7.1073555453242214</v>
      </c>
      <c r="R314" s="200">
        <f t="shared" si="77"/>
        <v>16.892644454675779</v>
      </c>
      <c r="S314" s="204">
        <f t="shared" si="78"/>
        <v>0.32013888888888892</v>
      </c>
      <c r="T314" s="204">
        <f t="shared" si="79"/>
        <v>0.72777777777777775</v>
      </c>
      <c r="U314" s="205" t="str">
        <f t="shared" si="81"/>
        <v>H</v>
      </c>
      <c r="V314" s="272">
        <f t="shared" si="80"/>
        <v>1</v>
      </c>
      <c r="W314" s="207" t="str">
        <f>IF(Introduction!$E$7=1,CONCATENATE("🌞 ➚ ",TEXT(S314,"hh:mm")," ","➘ ",TEXT(T314,"hh:mm")),CONCATENATE("☼ ➚ ",TEXT(S314,"hh:mm")," ","➘ ",TEXT(T314,"hh:mm")))</f>
        <v>🌞 ➚ 07:41 ➘ 17:28</v>
      </c>
    </row>
    <row r="315" spans="6:23" x14ac:dyDescent="0.2">
      <c r="F315" s="198">
        <f t="shared" si="88"/>
        <v>44504</v>
      </c>
      <c r="G315" s="199">
        <f t="shared" si="82"/>
        <v>308</v>
      </c>
      <c r="H315" s="200">
        <f t="shared" si="72"/>
        <v>300.56479999999999</v>
      </c>
      <c r="I315" s="200">
        <f t="shared" si="83"/>
        <v>-1.6655727805780447</v>
      </c>
      <c r="J315" s="200">
        <f t="shared" si="73"/>
        <v>221.89922721942196</v>
      </c>
      <c r="K315" s="200">
        <f t="shared" si="84"/>
        <v>-2.4401853270892286</v>
      </c>
      <c r="L315" s="201">
        <f t="shared" si="85"/>
        <v>-16.423032430669092</v>
      </c>
      <c r="M315" s="202">
        <f t="shared" si="86"/>
        <v>0.68429301794454556</v>
      </c>
      <c r="N315" s="203">
        <f t="shared" si="87"/>
        <v>-15.406161723442143</v>
      </c>
      <c r="O315" s="200">
        <f t="shared" si="74"/>
        <v>72.993692906266929</v>
      </c>
      <c r="P315" s="200">
        <f t="shared" si="75"/>
        <v>4.8662461937511283</v>
      </c>
      <c r="Q315" s="200">
        <f t="shared" si="76"/>
        <v>7.1337538062488717</v>
      </c>
      <c r="R315" s="200">
        <f t="shared" si="77"/>
        <v>16.866246193751127</v>
      </c>
      <c r="S315" s="204">
        <f t="shared" si="78"/>
        <v>0.32083333333333336</v>
      </c>
      <c r="T315" s="204">
        <f t="shared" si="79"/>
        <v>0.72638888888888886</v>
      </c>
      <c r="U315" s="205" t="str">
        <f t="shared" si="81"/>
        <v>H</v>
      </c>
      <c r="V315" s="272">
        <f t="shared" si="80"/>
        <v>1</v>
      </c>
      <c r="W315" s="207" t="str">
        <f>IF(Introduction!$E$7=1,CONCATENATE("🌞 ➚ ",TEXT(S315,"hh:mm")," ","➘ ",TEXT(T315,"hh:mm")),CONCATENATE("☼ ➚ ",TEXT(S315,"hh:mm")," ","➘ ",TEXT(T315,"hh:mm")))</f>
        <v>🌞 ➚ 07:42 ➘ 17:26</v>
      </c>
    </row>
    <row r="316" spans="6:23" x14ac:dyDescent="0.2">
      <c r="F316" s="198">
        <f t="shared" si="88"/>
        <v>44505</v>
      </c>
      <c r="G316" s="199">
        <f t="shared" si="82"/>
        <v>309</v>
      </c>
      <c r="H316" s="200">
        <f t="shared" si="72"/>
        <v>301.55040000000008</v>
      </c>
      <c r="I316" s="200">
        <f t="shared" si="83"/>
        <v>-1.648909019533763</v>
      </c>
      <c r="J316" s="200">
        <f t="shared" si="73"/>
        <v>222.90149098046618</v>
      </c>
      <c r="K316" s="200">
        <f t="shared" si="84"/>
        <v>-2.4516499542388615</v>
      </c>
      <c r="L316" s="201">
        <f t="shared" si="85"/>
        <v>-16.402235895090499</v>
      </c>
      <c r="M316" s="202">
        <f t="shared" si="86"/>
        <v>0.68342649562877078</v>
      </c>
      <c r="N316" s="203">
        <f t="shared" si="87"/>
        <v>-15.711778524787384</v>
      </c>
      <c r="O316" s="200">
        <f t="shared" si="74"/>
        <v>72.601165084828509</v>
      </c>
      <c r="P316" s="200">
        <f t="shared" si="75"/>
        <v>4.8400776723219003</v>
      </c>
      <c r="Q316" s="200">
        <f t="shared" si="76"/>
        <v>7.1599223276780997</v>
      </c>
      <c r="R316" s="200">
        <f t="shared" si="77"/>
        <v>16.8400776723219</v>
      </c>
      <c r="S316" s="204">
        <f t="shared" si="78"/>
        <v>0.32222222222222224</v>
      </c>
      <c r="T316" s="204">
        <f t="shared" si="79"/>
        <v>0.72569444444444453</v>
      </c>
      <c r="U316" s="205" t="str">
        <f t="shared" si="81"/>
        <v>H</v>
      </c>
      <c r="V316" s="272">
        <f t="shared" si="80"/>
        <v>1</v>
      </c>
      <c r="W316" s="207" t="str">
        <f>IF(Introduction!$E$7=1,CONCATENATE("🌞 ➚ ",TEXT(S316,"hh:mm")," ","➘ ",TEXT(T316,"hh:mm")),CONCATENATE("☼ ➚ ",TEXT(S316,"hh:mm")," ","➘ ",TEXT(T316,"hh:mm")))</f>
        <v>🌞 ➚ 07:44 ➘ 17:25</v>
      </c>
    </row>
    <row r="317" spans="6:23" x14ac:dyDescent="0.2">
      <c r="F317" s="198">
        <f t="shared" si="88"/>
        <v>44506</v>
      </c>
      <c r="G317" s="199">
        <f t="shared" si="82"/>
        <v>310</v>
      </c>
      <c r="H317" s="200">
        <f t="shared" si="72"/>
        <v>302.53600000000006</v>
      </c>
      <c r="I317" s="200">
        <f t="shared" si="83"/>
        <v>-1.6317415142643761</v>
      </c>
      <c r="J317" s="200">
        <f t="shared" si="73"/>
        <v>223.90425848573568</v>
      </c>
      <c r="K317" s="200">
        <f t="shared" si="84"/>
        <v>-2.4601459984851259</v>
      </c>
      <c r="L317" s="201">
        <f t="shared" si="85"/>
        <v>-16.367550050998009</v>
      </c>
      <c r="M317" s="202">
        <f t="shared" si="86"/>
        <v>0.681981252124917</v>
      </c>
      <c r="N317" s="203">
        <f t="shared" si="87"/>
        <v>-16.013065479743222</v>
      </c>
      <c r="O317" s="200">
        <f t="shared" si="74"/>
        <v>72.21225202283442</v>
      </c>
      <c r="P317" s="200">
        <f t="shared" si="75"/>
        <v>4.8141501348556277</v>
      </c>
      <c r="Q317" s="200">
        <f t="shared" si="76"/>
        <v>7.1858498651443723</v>
      </c>
      <c r="R317" s="200">
        <f t="shared" si="77"/>
        <v>16.814150134855627</v>
      </c>
      <c r="S317" s="204">
        <f t="shared" si="78"/>
        <v>0.32291666666666669</v>
      </c>
      <c r="T317" s="204">
        <f t="shared" si="79"/>
        <v>0.72430555555555554</v>
      </c>
      <c r="U317" s="205" t="str">
        <f t="shared" si="81"/>
        <v>H</v>
      </c>
      <c r="V317" s="272">
        <f t="shared" si="80"/>
        <v>1</v>
      </c>
      <c r="W317" s="207" t="str">
        <f>IF(Introduction!$E$7=1,CONCATENATE("🌞 ➚ ",TEXT(S317,"hh:mm")," ","➘ ",TEXT(T317,"hh:mm")),CONCATENATE("☼ ➚ ",TEXT(S317,"hh:mm")," ","➘ ",TEXT(T317,"hh:mm")))</f>
        <v>🌞 ➚ 07:45 ➘ 17:23</v>
      </c>
    </row>
    <row r="318" spans="6:23" x14ac:dyDescent="0.2">
      <c r="F318" s="198">
        <f t="shared" si="88"/>
        <v>44507</v>
      </c>
      <c r="G318" s="199">
        <f t="shared" si="82"/>
        <v>311</v>
      </c>
      <c r="H318" s="200">
        <f t="shared" si="72"/>
        <v>303.52160000000003</v>
      </c>
      <c r="I318" s="200">
        <f t="shared" si="83"/>
        <v>-1.6140750777470063</v>
      </c>
      <c r="J318" s="200">
        <f t="shared" si="73"/>
        <v>224.90752492225306</v>
      </c>
      <c r="K318" s="200">
        <f t="shared" si="84"/>
        <v>-2.4656449877824871</v>
      </c>
      <c r="L318" s="201">
        <f t="shared" si="85"/>
        <v>-16.318880262117972</v>
      </c>
      <c r="M318" s="202">
        <f t="shared" si="86"/>
        <v>0.67995334425491549</v>
      </c>
      <c r="N318" s="203">
        <f t="shared" si="87"/>
        <v>-16.309910052061021</v>
      </c>
      <c r="O318" s="200">
        <f t="shared" si="74"/>
        <v>71.827127515664728</v>
      </c>
      <c r="P318" s="200">
        <f t="shared" si="75"/>
        <v>4.788475167710982</v>
      </c>
      <c r="Q318" s="200">
        <f t="shared" si="76"/>
        <v>7.211524832289018</v>
      </c>
      <c r="R318" s="200">
        <f t="shared" si="77"/>
        <v>16.788475167710981</v>
      </c>
      <c r="S318" s="204">
        <f t="shared" si="78"/>
        <v>0.32430555555555557</v>
      </c>
      <c r="T318" s="204">
        <f t="shared" si="79"/>
        <v>0.72361111111111109</v>
      </c>
      <c r="U318" s="205" t="str">
        <f t="shared" si="81"/>
        <v>H</v>
      </c>
      <c r="V318" s="272">
        <f t="shared" si="80"/>
        <v>1</v>
      </c>
      <c r="W318" s="207" t="str">
        <f>IF(Introduction!$E$7=1,CONCATENATE("🌞 ➚ ",TEXT(S318,"hh:mm")," ","➘ ",TEXT(T318,"hh:mm")),CONCATENATE("☼ ➚ ",TEXT(S318,"hh:mm")," ","➘ ",TEXT(T318,"hh:mm")))</f>
        <v>🌞 ➚ 07:47 ➘ 17:22</v>
      </c>
    </row>
    <row r="319" spans="6:23" x14ac:dyDescent="0.2">
      <c r="F319" s="198">
        <f t="shared" si="88"/>
        <v>44508</v>
      </c>
      <c r="G319" s="199">
        <f t="shared" si="82"/>
        <v>312</v>
      </c>
      <c r="H319" s="200">
        <f t="shared" si="72"/>
        <v>304.50720000000001</v>
      </c>
      <c r="I319" s="200">
        <f t="shared" si="83"/>
        <v>-1.5959146896454006</v>
      </c>
      <c r="J319" s="200">
        <f t="shared" si="73"/>
        <v>225.91128531035463</v>
      </c>
      <c r="K319" s="200">
        <f t="shared" si="84"/>
        <v>-2.4681220439479139</v>
      </c>
      <c r="L319" s="201">
        <f t="shared" si="85"/>
        <v>-16.256146934373259</v>
      </c>
      <c r="M319" s="202">
        <f t="shared" si="86"/>
        <v>0.67733945559888575</v>
      </c>
      <c r="N319" s="203">
        <f t="shared" si="87"/>
        <v>-16.602199905963452</v>
      </c>
      <c r="O319" s="200">
        <f t="shared" si="74"/>
        <v>71.445970456159515</v>
      </c>
      <c r="P319" s="200">
        <f t="shared" si="75"/>
        <v>4.7630646970773007</v>
      </c>
      <c r="Q319" s="200">
        <f t="shared" si="76"/>
        <v>7.2369353029226993</v>
      </c>
      <c r="R319" s="200">
        <f t="shared" si="77"/>
        <v>16.763064697077301</v>
      </c>
      <c r="S319" s="204">
        <f t="shared" si="78"/>
        <v>0.32569444444444445</v>
      </c>
      <c r="T319" s="204">
        <f t="shared" si="79"/>
        <v>0.72222222222222221</v>
      </c>
      <c r="U319" s="205" t="str">
        <f t="shared" si="81"/>
        <v>H</v>
      </c>
      <c r="V319" s="272">
        <f t="shared" si="80"/>
        <v>1</v>
      </c>
      <c r="W319" s="207" t="str">
        <f>IF(Introduction!$E$7=1,CONCATENATE("🌞 ➚ ",TEXT(S319,"hh:mm")," ","➘ ",TEXT(T319,"hh:mm")),CONCATENATE("☼ ➚ ",TEXT(S319,"hh:mm")," ","➘ ",TEXT(T319,"hh:mm")))</f>
        <v>🌞 ➚ 07:49 ➘ 17:20</v>
      </c>
    </row>
    <row r="320" spans="6:23" x14ac:dyDescent="0.2">
      <c r="F320" s="198">
        <f t="shared" si="88"/>
        <v>44509</v>
      </c>
      <c r="G320" s="199">
        <f t="shared" si="82"/>
        <v>313</v>
      </c>
      <c r="H320" s="200">
        <f t="shared" si="72"/>
        <v>305.49279999999999</v>
      </c>
      <c r="I320" s="200">
        <f t="shared" si="83"/>
        <v>-1.5772654951297711</v>
      </c>
      <c r="J320" s="200">
        <f t="shared" si="73"/>
        <v>226.91553450487027</v>
      </c>
      <c r="K320" s="200">
        <f t="shared" si="84"/>
        <v>-2.4675559961106348</v>
      </c>
      <c r="L320" s="201">
        <f t="shared" si="85"/>
        <v>-16.179285964961622</v>
      </c>
      <c r="M320" s="202">
        <f t="shared" si="86"/>
        <v>0.67413691520673424</v>
      </c>
      <c r="N320" s="203">
        <f t="shared" si="87"/>
        <v>-16.889822976865361</v>
      </c>
      <c r="O320" s="200">
        <f t="shared" si="74"/>
        <v>71.068964784226964</v>
      </c>
      <c r="P320" s="200">
        <f t="shared" si="75"/>
        <v>4.7379309856151313</v>
      </c>
      <c r="Q320" s="200">
        <f t="shared" si="76"/>
        <v>7.2620690143848687</v>
      </c>
      <c r="R320" s="200">
        <f t="shared" si="77"/>
        <v>16.737930985615129</v>
      </c>
      <c r="S320" s="204">
        <f t="shared" si="78"/>
        <v>0.3263888888888889</v>
      </c>
      <c r="T320" s="204">
        <f t="shared" si="79"/>
        <v>0.72152777777777777</v>
      </c>
      <c r="U320" s="205" t="str">
        <f t="shared" si="81"/>
        <v>H</v>
      </c>
      <c r="V320" s="272">
        <f t="shared" si="80"/>
        <v>1</v>
      </c>
      <c r="W320" s="207" t="str">
        <f>IF(Introduction!$E$7=1,CONCATENATE("🌞 ➚ ",TEXT(S320,"hh:mm")," ","➘ ",TEXT(T320,"hh:mm")),CONCATENATE("☼ ➚ ",TEXT(S320,"hh:mm")," ","➘ ",TEXT(T320,"hh:mm")))</f>
        <v>🌞 ➚ 07:50 ➘ 17:19</v>
      </c>
    </row>
    <row r="321" spans="6:23" x14ac:dyDescent="0.2">
      <c r="F321" s="198">
        <f t="shared" si="88"/>
        <v>44510</v>
      </c>
      <c r="G321" s="199">
        <f t="shared" si="82"/>
        <v>314</v>
      </c>
      <c r="H321" s="200">
        <f t="shared" si="72"/>
        <v>306.47839999999997</v>
      </c>
      <c r="I321" s="200">
        <f t="shared" si="83"/>
        <v>-1.5581328036247633</v>
      </c>
      <c r="J321" s="200">
        <f t="shared" si="73"/>
        <v>227.92026719637533</v>
      </c>
      <c r="K321" s="200">
        <f t="shared" si="84"/>
        <v>-2.463929490006282</v>
      </c>
      <c r="L321" s="201">
        <f t="shared" si="85"/>
        <v>-16.088249174524179</v>
      </c>
      <c r="M321" s="202">
        <f t="shared" si="86"/>
        <v>0.67034371560517414</v>
      </c>
      <c r="N321" s="203">
        <f t="shared" si="87"/>
        <v>-17.172667545537418</v>
      </c>
      <c r="O321" s="200">
        <f t="shared" si="74"/>
        <v>70.69629941567176</v>
      </c>
      <c r="P321" s="200">
        <f t="shared" si="75"/>
        <v>4.7130866277114505</v>
      </c>
      <c r="Q321" s="200">
        <f t="shared" si="76"/>
        <v>7.2869133722885495</v>
      </c>
      <c r="R321" s="200">
        <f t="shared" si="77"/>
        <v>16.713086627711451</v>
      </c>
      <c r="S321" s="204">
        <f t="shared" si="78"/>
        <v>0.32777777777777778</v>
      </c>
      <c r="T321" s="204">
        <f t="shared" si="79"/>
        <v>0.72013888888888899</v>
      </c>
      <c r="U321" s="205" t="str">
        <f t="shared" si="81"/>
        <v>H</v>
      </c>
      <c r="V321" s="272">
        <f t="shared" si="80"/>
        <v>1</v>
      </c>
      <c r="W321" s="207" t="str">
        <f>IF(Introduction!$E$7=1,CONCATENATE("🌞 ➚ ",TEXT(S321,"hh:mm")," ","➘ ",TEXT(T321,"hh:mm")),CONCATENATE("☼ ➚ ",TEXT(S321,"hh:mm")," ","➘ ",TEXT(T321,"hh:mm")))</f>
        <v>🌞 ➚ 07:52 ➘ 17:17</v>
      </c>
    </row>
    <row r="322" spans="6:23" x14ac:dyDescent="0.2">
      <c r="F322" s="198">
        <f t="shared" si="88"/>
        <v>44511</v>
      </c>
      <c r="G322" s="199">
        <f t="shared" si="82"/>
        <v>315</v>
      </c>
      <c r="H322" s="200">
        <f t="shared" si="72"/>
        <v>307.46399999999994</v>
      </c>
      <c r="I322" s="200">
        <f t="shared" si="83"/>
        <v>-1.5385220874855992</v>
      </c>
      <c r="J322" s="200">
        <f t="shared" si="73"/>
        <v>228.92547791251445</v>
      </c>
      <c r="K322" s="200">
        <f t="shared" si="84"/>
        <v>-2.4572290925910845</v>
      </c>
      <c r="L322" s="201">
        <f t="shared" si="85"/>
        <v>-15.983004720306734</v>
      </c>
      <c r="M322" s="202">
        <f t="shared" si="86"/>
        <v>0.6659585300127806</v>
      </c>
      <c r="N322" s="203">
        <f t="shared" si="87"/>
        <v>-17.450622315689099</v>
      </c>
      <c r="O322" s="200">
        <f t="shared" si="74"/>
        <v>70.328168148954418</v>
      </c>
      <c r="P322" s="200">
        <f t="shared" si="75"/>
        <v>4.6885445432636281</v>
      </c>
      <c r="Q322" s="200">
        <f t="shared" si="76"/>
        <v>7.3114554567363719</v>
      </c>
      <c r="R322" s="200">
        <f t="shared" si="77"/>
        <v>16.688544543263628</v>
      </c>
      <c r="S322" s="204">
        <f t="shared" si="78"/>
        <v>0.32847222222222222</v>
      </c>
      <c r="T322" s="204">
        <f t="shared" si="79"/>
        <v>0.71944444444444444</v>
      </c>
      <c r="U322" s="205" t="str">
        <f t="shared" si="81"/>
        <v>H</v>
      </c>
      <c r="V322" s="272">
        <f t="shared" si="80"/>
        <v>1</v>
      </c>
      <c r="W322" s="207" t="str">
        <f>IF(Introduction!$E$7=1,CONCATENATE("🌞 ➚ ",TEXT(S322,"hh:mm")," ","➘ ",TEXT(T322,"hh:mm")),CONCATENATE("☼ ➚ ",TEXT(S322,"hh:mm")," ","➘ ",TEXT(T322,"hh:mm")))</f>
        <v>🌞 ➚ 07:53 ➘ 17:16</v>
      </c>
    </row>
    <row r="323" spans="6:23" x14ac:dyDescent="0.2">
      <c r="F323" s="198">
        <f t="shared" si="88"/>
        <v>44512</v>
      </c>
      <c r="G323" s="199">
        <f t="shared" si="82"/>
        <v>316</v>
      </c>
      <c r="H323" s="200">
        <f t="shared" si="72"/>
        <v>308.44960000000003</v>
      </c>
      <c r="I323" s="200">
        <f t="shared" si="83"/>
        <v>-1.5184389806025143</v>
      </c>
      <c r="J323" s="200">
        <f t="shared" si="73"/>
        <v>229.93116101939745</v>
      </c>
      <c r="K323" s="200">
        <f t="shared" si="84"/>
        <v>-2.4474453914536731</v>
      </c>
      <c r="L323" s="201">
        <f t="shared" si="85"/>
        <v>-15.86353748822475</v>
      </c>
      <c r="M323" s="202">
        <f t="shared" si="86"/>
        <v>0.6609807286760313</v>
      </c>
      <c r="N323" s="203">
        <f t="shared" si="87"/>
        <v>-17.723576494934576</v>
      </c>
      <c r="O323" s="200">
        <f t="shared" si="74"/>
        <v>69.964769548605105</v>
      </c>
      <c r="P323" s="200">
        <f t="shared" si="75"/>
        <v>4.6643179699070068</v>
      </c>
      <c r="Q323" s="200">
        <f t="shared" si="76"/>
        <v>7.3356820300929932</v>
      </c>
      <c r="R323" s="200">
        <f t="shared" si="77"/>
        <v>16.664317969907007</v>
      </c>
      <c r="S323" s="204">
        <f t="shared" si="78"/>
        <v>0.3298611111111111</v>
      </c>
      <c r="T323" s="204">
        <f t="shared" si="79"/>
        <v>0.71875</v>
      </c>
      <c r="U323" s="205" t="str">
        <f t="shared" si="81"/>
        <v>H</v>
      </c>
      <c r="V323" s="272">
        <f t="shared" si="80"/>
        <v>1</v>
      </c>
      <c r="W323" s="207" t="str">
        <f>IF(Introduction!$E$7=1,CONCATENATE("🌞 ➚ ",TEXT(S323,"hh:mm")," ","➘ ",TEXT(T323,"hh:mm")),CONCATENATE("☼ ➚ ",TEXT(S323,"hh:mm")," ","➘ ",TEXT(T323,"hh:mm")))</f>
        <v>🌞 ➚ 07:55 ➘ 17:15</v>
      </c>
    </row>
    <row r="324" spans="6:23" x14ac:dyDescent="0.2">
      <c r="F324" s="198">
        <f t="shared" si="88"/>
        <v>44513</v>
      </c>
      <c r="G324" s="199">
        <f t="shared" si="82"/>
        <v>317</v>
      </c>
      <c r="H324" s="200">
        <f t="shared" si="72"/>
        <v>309.43520000000001</v>
      </c>
      <c r="I324" s="200">
        <f t="shared" si="83"/>
        <v>-1.4978892769336156</v>
      </c>
      <c r="J324" s="200">
        <f t="shared" si="73"/>
        <v>230.93731072306639</v>
      </c>
      <c r="K324" s="200">
        <f t="shared" si="84"/>
        <v>-2.4345730885065873</v>
      </c>
      <c r="L324" s="201">
        <f t="shared" si="85"/>
        <v>-15.729849461760811</v>
      </c>
      <c r="M324" s="202">
        <f t="shared" si="86"/>
        <v>0.65541039424003378</v>
      </c>
      <c r="N324" s="203">
        <f t="shared" si="87"/>
        <v>-17.991419879089879</v>
      </c>
      <c r="O324" s="200">
        <f t="shared" si="74"/>
        <v>69.606306804045957</v>
      </c>
      <c r="P324" s="200">
        <f t="shared" si="75"/>
        <v>4.6404204536030642</v>
      </c>
      <c r="Q324" s="200">
        <f t="shared" si="76"/>
        <v>7.3595795463969358</v>
      </c>
      <c r="R324" s="200">
        <f t="shared" si="77"/>
        <v>16.640420453603063</v>
      </c>
      <c r="S324" s="204">
        <f t="shared" si="78"/>
        <v>0.33055555555555555</v>
      </c>
      <c r="T324" s="204">
        <f t="shared" si="79"/>
        <v>0.71736111111111101</v>
      </c>
      <c r="U324" s="205" t="str">
        <f t="shared" si="81"/>
        <v>H</v>
      </c>
      <c r="V324" s="272">
        <f t="shared" si="80"/>
        <v>1</v>
      </c>
      <c r="W324" s="207" t="str">
        <f>IF(Introduction!$E$7=1,CONCATENATE("🌞 ➚ ",TEXT(S324,"hh:mm")," ","➘ ",TEXT(T324,"hh:mm")),CONCATENATE("☼ ➚ ",TEXT(S324,"hh:mm")," ","➘ ",TEXT(T324,"hh:mm")))</f>
        <v>🌞 ➚ 07:56 ➘ 17:13</v>
      </c>
    </row>
    <row r="325" spans="6:23" x14ac:dyDescent="0.2">
      <c r="F325" s="198">
        <f t="shared" si="88"/>
        <v>44514</v>
      </c>
      <c r="G325" s="199">
        <f t="shared" si="82"/>
        <v>318</v>
      </c>
      <c r="H325" s="200">
        <f t="shared" si="72"/>
        <v>310.42079999999999</v>
      </c>
      <c r="I325" s="200">
        <f t="shared" si="83"/>
        <v>-1.4768789289663531</v>
      </c>
      <c r="J325" s="200">
        <f t="shared" si="73"/>
        <v>231.94392107103363</v>
      </c>
      <c r="K325" s="200">
        <f t="shared" si="84"/>
        <v>-2.4186110874467155</v>
      </c>
      <c r="L325" s="201">
        <f t="shared" si="85"/>
        <v>-15.581960065652275</v>
      </c>
      <c r="M325" s="202">
        <f t="shared" si="86"/>
        <v>0.6492483360688448</v>
      </c>
      <c r="N325" s="203">
        <f t="shared" si="87"/>
        <v>-18.254042939734695</v>
      </c>
      <c r="O325" s="200">
        <f t="shared" si="74"/>
        <v>69.252987562617548</v>
      </c>
      <c r="P325" s="200">
        <f t="shared" si="75"/>
        <v>4.6168658375078362</v>
      </c>
      <c r="Q325" s="200">
        <f t="shared" si="76"/>
        <v>7.3831341624921638</v>
      </c>
      <c r="R325" s="200">
        <f t="shared" si="77"/>
        <v>16.616865837507838</v>
      </c>
      <c r="S325" s="204">
        <f t="shared" si="78"/>
        <v>0.33194444444444443</v>
      </c>
      <c r="T325" s="204">
        <f t="shared" si="79"/>
        <v>0.71666666666666667</v>
      </c>
      <c r="U325" s="205" t="str">
        <f t="shared" si="81"/>
        <v>H</v>
      </c>
      <c r="V325" s="272">
        <f t="shared" si="80"/>
        <v>1</v>
      </c>
      <c r="W325" s="207" t="str">
        <f>IF(Introduction!$E$7=1,CONCATENATE("🌞 ➚ ",TEXT(S325,"hh:mm")," ","➘ ",TEXT(T325,"hh:mm")),CONCATENATE("☼ ➚ ",TEXT(S325,"hh:mm")," ","➘ ",TEXT(T325,"hh:mm")))</f>
        <v>🌞 ➚ 07:58 ➘ 17:12</v>
      </c>
    </row>
    <row r="326" spans="6:23" x14ac:dyDescent="0.2">
      <c r="F326" s="198">
        <f t="shared" si="88"/>
        <v>44515</v>
      </c>
      <c r="G326" s="199">
        <f t="shared" si="82"/>
        <v>319</v>
      </c>
      <c r="H326" s="200">
        <f t="shared" ref="H326:H373" si="89">MOD(357+0.9856*$G326,360)</f>
        <v>311.40640000000008</v>
      </c>
      <c r="I326" s="200">
        <f t="shared" si="83"/>
        <v>-1.4554140461078844</v>
      </c>
      <c r="J326" s="200">
        <f t="shared" ref="J326:J373" si="90">MOD(280+$I326+0.9856*$G326,360)</f>
        <v>232.95098595389209</v>
      </c>
      <c r="K326" s="200">
        <f t="shared" si="84"/>
        <v>-2.3995625744837072</v>
      </c>
      <c r="L326" s="201">
        <f t="shared" si="85"/>
        <v>-15.419906482366367</v>
      </c>
      <c r="M326" s="202">
        <f t="shared" si="86"/>
        <v>0.64249610343193198</v>
      </c>
      <c r="N326" s="203">
        <f t="shared" si="87"/>
        <v>-18.511336914956924</v>
      </c>
      <c r="O326" s="200">
        <f t="shared" ref="O326:O373" si="91">ACOS((-0.01454-SIN(PI()/180*$N326)*SIN(PI()/180*$L$2))/(COS(PI()/180*$N326)*COS(PI()/180*$L$2)))*180/PI()</f>
        <v>68.905023735663889</v>
      </c>
      <c r="P326" s="200">
        <f t="shared" ref="P326:P373" si="92">$O326/15</f>
        <v>4.5936682490442591</v>
      </c>
      <c r="Q326" s="200">
        <f t="shared" ref="Q326:Q373" si="93">12-$P326</f>
        <v>7.4063317509557409</v>
      </c>
      <c r="R326" s="200">
        <f t="shared" ref="R326:R373" si="94">12+$P326</f>
        <v>16.59366824904426</v>
      </c>
      <c r="S326" s="204">
        <f t="shared" ref="S326:S373" si="95">(TRUNC($Q326+$L326/60+$L$3*4/60+$V326)+ROUND((($Q326+$L326/60+$L$3*4/60+$V326)-TRUNC($Q326+$L326/60+$L$3*4/60+$V326))*60,0)/60)/24</f>
        <v>0.33333333333333331</v>
      </c>
      <c r="T326" s="204">
        <f t="shared" ref="T326:T373" si="96">(TRUNC($R326+$L326/60+$L$3*4/60+$V326)+ROUND((($R326+$L326/60+$L$3*4/60+$V326)-TRUNC($R326+$L326/60+$L$3*4/60+$V326))*60,0)/60)/24</f>
        <v>0.71597222222222223</v>
      </c>
      <c r="U326" s="205" t="str">
        <f t="shared" si="81"/>
        <v>H</v>
      </c>
      <c r="V326" s="272">
        <f t="shared" si="80"/>
        <v>1</v>
      </c>
      <c r="W326" s="207" t="str">
        <f>IF(Introduction!$E$7=1,CONCATENATE("🌞 ➚ ",TEXT(S326,"hh:mm")," ","➘ ",TEXT(T326,"hh:mm")),CONCATENATE("☼ ➚ ",TEXT(S326,"hh:mm")," ","➘ ",TEXT(T326,"hh:mm")))</f>
        <v>🌞 ➚ 08:00 ➘ 17:11</v>
      </c>
    </row>
    <row r="327" spans="6:23" x14ac:dyDescent="0.2">
      <c r="F327" s="198">
        <f t="shared" si="88"/>
        <v>44516</v>
      </c>
      <c r="G327" s="199">
        <f t="shared" si="82"/>
        <v>320</v>
      </c>
      <c r="H327" s="200">
        <f t="shared" si="89"/>
        <v>312.39200000000005</v>
      </c>
      <c r="I327" s="200">
        <f t="shared" si="83"/>
        <v>-1.4335008930046038</v>
      </c>
      <c r="J327" s="200">
        <f t="shared" si="90"/>
        <v>233.95849910699542</v>
      </c>
      <c r="K327" s="200">
        <f t="shared" si="84"/>
        <v>-2.3774350918478753</v>
      </c>
      <c r="L327" s="201">
        <f t="shared" si="85"/>
        <v>-15.243743939409917</v>
      </c>
      <c r="M327" s="202">
        <f t="shared" si="86"/>
        <v>0.63515599747541318</v>
      </c>
      <c r="N327" s="203">
        <f t="shared" si="87"/>
        <v>-18.763193903180081</v>
      </c>
      <c r="O327" s="200">
        <f t="shared" si="91"/>
        <v>68.56263127660803</v>
      </c>
      <c r="P327" s="200">
        <f t="shared" si="92"/>
        <v>4.570842085107202</v>
      </c>
      <c r="Q327" s="200">
        <f t="shared" si="93"/>
        <v>7.429157914892798</v>
      </c>
      <c r="R327" s="200">
        <f t="shared" si="94"/>
        <v>16.570842085107202</v>
      </c>
      <c r="S327" s="204">
        <f t="shared" si="95"/>
        <v>0.33402777777777781</v>
      </c>
      <c r="T327" s="204">
        <f t="shared" si="96"/>
        <v>0.71527777777777779</v>
      </c>
      <c r="U327" s="205" t="str">
        <f t="shared" si="81"/>
        <v>H</v>
      </c>
      <c r="V327" s="272">
        <f t="shared" ref="V327:V373" si="97">IF(U327="H",$AC$6,$AC$7)</f>
        <v>1</v>
      </c>
      <c r="W327" s="207" t="str">
        <f>IF(Introduction!$E$7=1,CONCATENATE("🌞 ➚ ",TEXT(S327,"hh:mm")," ","➘ ",TEXT(T327,"hh:mm")),CONCATENATE("☼ ➚ ",TEXT(S327,"hh:mm")," ","➘ ",TEXT(T327,"hh:mm")))</f>
        <v>🌞 ➚ 08:01 ➘ 17:10</v>
      </c>
    </row>
    <row r="328" spans="6:23" x14ac:dyDescent="0.2">
      <c r="F328" s="198">
        <f t="shared" si="88"/>
        <v>44517</v>
      </c>
      <c r="G328" s="199">
        <f t="shared" si="82"/>
        <v>321</v>
      </c>
      <c r="H328" s="200">
        <f t="shared" si="89"/>
        <v>313.37760000000003</v>
      </c>
      <c r="I328" s="200">
        <f t="shared" si="83"/>
        <v>-1.4111458877911707</v>
      </c>
      <c r="J328" s="200">
        <f t="shared" si="90"/>
        <v>234.96645411220879</v>
      </c>
      <c r="K328" s="200">
        <f t="shared" si="84"/>
        <v>-2.3522406036042613</v>
      </c>
      <c r="L328" s="201">
        <f t="shared" si="85"/>
        <v>-15.053545965581728</v>
      </c>
      <c r="M328" s="202">
        <f t="shared" si="86"/>
        <v>0.62723108189923871</v>
      </c>
      <c r="N328" s="203">
        <f t="shared" si="87"/>
        <v>-19.009506959957776</v>
      </c>
      <c r="O328" s="200">
        <f t="shared" si="91"/>
        <v>68.226029930043737</v>
      </c>
      <c r="P328" s="200">
        <f t="shared" si="92"/>
        <v>4.5484019953362491</v>
      </c>
      <c r="Q328" s="200">
        <f t="shared" si="93"/>
        <v>7.4515980046637509</v>
      </c>
      <c r="R328" s="200">
        <f t="shared" si="94"/>
        <v>16.548401995336249</v>
      </c>
      <c r="S328" s="204">
        <f t="shared" si="95"/>
        <v>0.3354166666666667</v>
      </c>
      <c r="T328" s="204">
        <f t="shared" si="96"/>
        <v>0.71388888888888891</v>
      </c>
      <c r="U328" s="205" t="str">
        <f t="shared" ref="U328:U373" si="98">IF(YEAR($F328)=$AA$5,IF(AND($F328&gt;=$AA$6,$F328&lt;$AA$7),"E",IF(AND($F328&gt;=$AA$6,$F328&lt;$AA$7),"E","H")),IF(AND($F328&gt;=$AB$6,$F328&lt;$AB$7),"E",IF(AND($F328&gt;=$AB$6,$F328&lt;$AB$7),"E","H")))</f>
        <v>H</v>
      </c>
      <c r="V328" s="272">
        <f t="shared" si="97"/>
        <v>1</v>
      </c>
      <c r="W328" s="207" t="str">
        <f>IF(Introduction!$E$7=1,CONCATENATE("🌞 ➚ ",TEXT(S328,"hh:mm")," ","➘ ",TEXT(T328,"hh:mm")),CONCATENATE("☼ ➚ ",TEXT(S328,"hh:mm")," ","➘ ",TEXT(T328,"hh:mm")))</f>
        <v>🌞 ➚ 08:03 ➘ 17:08</v>
      </c>
    </row>
    <row r="329" spans="6:23" x14ac:dyDescent="0.2">
      <c r="F329" s="198">
        <f t="shared" si="88"/>
        <v>44518</v>
      </c>
      <c r="G329" s="199">
        <f t="shared" ref="G329:G373" si="99">F329-DATE(YEAR(F329),1,0)</f>
        <v>322</v>
      </c>
      <c r="H329" s="200">
        <f t="shared" si="89"/>
        <v>314.36320000000001</v>
      </c>
      <c r="I329" s="200">
        <f t="shared" ref="I329:I373" si="100">1.914*SIN(PI()/180*$H329)+0.02*SIN(PI()/180*2*$H329)</f>
        <v>-1.3883556002694684</v>
      </c>
      <c r="J329" s="200">
        <f t="shared" si="90"/>
        <v>235.9748443997305</v>
      </c>
      <c r="K329" s="200">
        <f t="shared" ref="K329:K373" si="101">-2.466*SIN(PI()/180*2*$J329)+0.053*SIN(PI()/180*4*$J329)</f>
        <v>-2.3239955533172107</v>
      </c>
      <c r="L329" s="201">
        <f t="shared" ref="L329:L373" si="102">($I329+$K329)*4</f>
        <v>-14.849404614346717</v>
      </c>
      <c r="M329" s="202">
        <f t="shared" ref="M329:M373" si="103">ABS($L329)/24</f>
        <v>0.61872519226444656</v>
      </c>
      <c r="N329" s="203">
        <f t="shared" ref="N329:N373" si="104">ASIN(0.3978*SIN(PI()/180*$J329))*180/PI()</f>
        <v>-19.250170197601378</v>
      </c>
      <c r="O329" s="200">
        <f t="shared" si="91"/>
        <v>67.895442950983664</v>
      </c>
      <c r="P329" s="200">
        <f t="shared" si="92"/>
        <v>4.5263628633989113</v>
      </c>
      <c r="Q329" s="200">
        <f t="shared" si="93"/>
        <v>7.4736371366010887</v>
      </c>
      <c r="R329" s="200">
        <f t="shared" si="94"/>
        <v>16.526362863398912</v>
      </c>
      <c r="S329" s="204">
        <f t="shared" si="95"/>
        <v>0.33611111111111108</v>
      </c>
      <c r="T329" s="204">
        <f t="shared" si="96"/>
        <v>0.71319444444444446</v>
      </c>
      <c r="U329" s="205" t="str">
        <f t="shared" si="98"/>
        <v>H</v>
      </c>
      <c r="V329" s="272">
        <f t="shared" si="97"/>
        <v>1</v>
      </c>
      <c r="W329" s="207" t="str">
        <f>IF(Introduction!$E$7=1,CONCATENATE("🌞 ➚ ",TEXT(S329,"hh:mm")," ","➘ ",TEXT(T329,"hh:mm")),CONCATENATE("☼ ➚ ",TEXT(S329,"hh:mm")," ","➘ ",TEXT(T329,"hh:mm")))</f>
        <v>🌞 ➚ 08:04 ➘ 17:07</v>
      </c>
    </row>
    <row r="330" spans="6:23" x14ac:dyDescent="0.2">
      <c r="F330" s="198">
        <f t="shared" ref="F330:F373" si="105">F329+1</f>
        <v>44519</v>
      </c>
      <c r="G330" s="199">
        <f t="shared" si="99"/>
        <v>323</v>
      </c>
      <c r="H330" s="200">
        <f t="shared" si="89"/>
        <v>315.34879999999998</v>
      </c>
      <c r="I330" s="200">
        <f t="shared" si="100"/>
        <v>-1.3651367500179201</v>
      </c>
      <c r="J330" s="200">
        <f t="shared" si="90"/>
        <v>236.9836632499821</v>
      </c>
      <c r="K330" s="200">
        <f t="shared" si="101"/>
        <v>-2.292720913130267</v>
      </c>
      <c r="L330" s="201">
        <f t="shared" si="102"/>
        <v>-14.631430652592748</v>
      </c>
      <c r="M330" s="202">
        <f t="shared" si="103"/>
        <v>0.60964294385803119</v>
      </c>
      <c r="N330" s="203">
        <f t="shared" si="104"/>
        <v>-19.485078887488626</v>
      </c>
      <c r="O330" s="200">
        <f t="shared" si="91"/>
        <v>67.57109679353988</v>
      </c>
      <c r="P330" s="200">
        <f t="shared" si="92"/>
        <v>4.5047397862359917</v>
      </c>
      <c r="Q330" s="200">
        <f t="shared" si="93"/>
        <v>7.4952602137640083</v>
      </c>
      <c r="R330" s="200">
        <f t="shared" si="94"/>
        <v>16.504739786235991</v>
      </c>
      <c r="S330" s="204">
        <f t="shared" si="95"/>
        <v>0.33749999999999997</v>
      </c>
      <c r="T330" s="204">
        <f t="shared" si="96"/>
        <v>0.71250000000000002</v>
      </c>
      <c r="U330" s="205" t="str">
        <f t="shared" si="98"/>
        <v>H</v>
      </c>
      <c r="V330" s="272">
        <f t="shared" si="97"/>
        <v>1</v>
      </c>
      <c r="W330" s="207" t="str">
        <f>IF(Introduction!$E$7=1,CONCATENATE("🌞 ➚ ",TEXT(S330,"hh:mm")," ","➘ ",TEXT(T330,"hh:mm")),CONCATENATE("☼ ➚ ",TEXT(S330,"hh:mm")," ","➘ ",TEXT(T330,"hh:mm")))</f>
        <v>🌞 ➚ 08:06 ➘ 17:06</v>
      </c>
    </row>
    <row r="331" spans="6:23" x14ac:dyDescent="0.2">
      <c r="F331" s="198">
        <f t="shared" si="105"/>
        <v>44520</v>
      </c>
      <c r="G331" s="199">
        <f t="shared" si="99"/>
        <v>324</v>
      </c>
      <c r="H331" s="200">
        <f t="shared" si="89"/>
        <v>316.33439999999996</v>
      </c>
      <c r="I331" s="200">
        <f t="shared" si="100"/>
        <v>-1.3414962044316503</v>
      </c>
      <c r="J331" s="200">
        <f t="shared" si="90"/>
        <v>237.99290379556828</v>
      </c>
      <c r="K331" s="200">
        <f t="shared" si="101"/>
        <v>-2.2584422238489785</v>
      </c>
      <c r="L331" s="201">
        <f t="shared" si="102"/>
        <v>-14.399753713122514</v>
      </c>
      <c r="M331" s="202">
        <f t="shared" si="103"/>
        <v>0.59998973804677147</v>
      </c>
      <c r="N331" s="203">
        <f t="shared" si="104"/>
        <v>-19.714129564883027</v>
      </c>
      <c r="O331" s="200">
        <f t="shared" si="91"/>
        <v>67.25322076846885</v>
      </c>
      <c r="P331" s="200">
        <f t="shared" si="92"/>
        <v>4.4835480512312564</v>
      </c>
      <c r="Q331" s="200">
        <f t="shared" si="93"/>
        <v>7.5164519487687436</v>
      </c>
      <c r="R331" s="200">
        <f t="shared" si="94"/>
        <v>16.483548051231256</v>
      </c>
      <c r="S331" s="204">
        <f t="shared" si="95"/>
        <v>0.33819444444444446</v>
      </c>
      <c r="T331" s="204">
        <f t="shared" si="96"/>
        <v>0.71180555555555547</v>
      </c>
      <c r="U331" s="205" t="str">
        <f t="shared" si="98"/>
        <v>H</v>
      </c>
      <c r="V331" s="272">
        <f t="shared" si="97"/>
        <v>1</v>
      </c>
      <c r="W331" s="207" t="str">
        <f>IF(Introduction!$E$7=1,CONCATENATE("🌞 ➚ ",TEXT(S331,"hh:mm")," ","➘ ",TEXT(T331,"hh:mm")),CONCATENATE("☼ ➚ ",TEXT(S331,"hh:mm")," ","➘ ",TEXT(T331,"hh:mm")))</f>
        <v>🌞 ➚ 08:07 ➘ 17:05</v>
      </c>
    </row>
    <row r="332" spans="6:23" x14ac:dyDescent="0.2">
      <c r="F332" s="198">
        <f t="shared" si="105"/>
        <v>44521</v>
      </c>
      <c r="G332" s="199">
        <f t="shared" si="99"/>
        <v>325</v>
      </c>
      <c r="H332" s="200">
        <f t="shared" si="89"/>
        <v>317.31999999999994</v>
      </c>
      <c r="I332" s="200">
        <f t="shared" si="100"/>
        <v>-1.3174409766940576</v>
      </c>
      <c r="J332" s="200">
        <f t="shared" si="90"/>
        <v>239.00255902330593</v>
      </c>
      <c r="K332" s="200">
        <f t="shared" si="101"/>
        <v>-2.2211896256395387</v>
      </c>
      <c r="L332" s="201">
        <f t="shared" si="102"/>
        <v>-14.154522409334385</v>
      </c>
      <c r="M332" s="202">
        <f t="shared" si="103"/>
        <v>0.58977176705559942</v>
      </c>
      <c r="N332" s="203">
        <f t="shared" si="104"/>
        <v>-19.937220136075517</v>
      </c>
      <c r="O332" s="200">
        <f t="shared" si="91"/>
        <v>66.942046669190262</v>
      </c>
      <c r="P332" s="200">
        <f t="shared" si="92"/>
        <v>4.4628031112793511</v>
      </c>
      <c r="Q332" s="200">
        <f t="shared" si="93"/>
        <v>7.5371968887206489</v>
      </c>
      <c r="R332" s="200">
        <f t="shared" si="94"/>
        <v>16.462803111279349</v>
      </c>
      <c r="S332" s="204">
        <f t="shared" si="95"/>
        <v>0.33958333333333335</v>
      </c>
      <c r="T332" s="204">
        <f t="shared" si="96"/>
        <v>0.71111111111111114</v>
      </c>
      <c r="U332" s="205" t="str">
        <f t="shared" si="98"/>
        <v>H</v>
      </c>
      <c r="V332" s="272">
        <f t="shared" si="97"/>
        <v>1</v>
      </c>
      <c r="W332" s="207" t="str">
        <f>IF(Introduction!$E$7=1,CONCATENATE("🌞 ➚ ",TEXT(S332,"hh:mm")," ","➘ ",TEXT(T332,"hh:mm")),CONCATENATE("☼ ➚ ",TEXT(S332,"hh:mm")," ","➘ ",TEXT(T332,"hh:mm")))</f>
        <v>🌞 ➚ 08:09 ➘ 17:04</v>
      </c>
    </row>
    <row r="333" spans="6:23" x14ac:dyDescent="0.2">
      <c r="F333" s="198">
        <f t="shared" si="105"/>
        <v>44522</v>
      </c>
      <c r="G333" s="199">
        <f t="shared" si="99"/>
        <v>326</v>
      </c>
      <c r="H333" s="200">
        <f t="shared" si="89"/>
        <v>318.30560000000003</v>
      </c>
      <c r="I333" s="200">
        <f t="shared" si="100"/>
        <v>-1.2929782236803771</v>
      </c>
      <c r="J333" s="200">
        <f t="shared" si="90"/>
        <v>240.01262177631963</v>
      </c>
      <c r="K333" s="200">
        <f t="shared" si="101"/>
        <v>-2.1809978789840385</v>
      </c>
      <c r="L333" s="201">
        <f t="shared" si="102"/>
        <v>-13.895904410657662</v>
      </c>
      <c r="M333" s="202">
        <f t="shared" si="103"/>
        <v>0.57899601711073589</v>
      </c>
      <c r="N333" s="203">
        <f t="shared" si="104"/>
        <v>-20.154249987640114</v>
      </c>
      <c r="O333" s="200">
        <f t="shared" si="91"/>
        <v>66.637808366092244</v>
      </c>
      <c r="P333" s="200">
        <f t="shared" si="92"/>
        <v>4.4425205577394831</v>
      </c>
      <c r="Q333" s="200">
        <f t="shared" si="93"/>
        <v>7.5574794422605169</v>
      </c>
      <c r="R333" s="200">
        <f t="shared" si="94"/>
        <v>16.442520557739485</v>
      </c>
      <c r="S333" s="204">
        <f t="shared" si="95"/>
        <v>0.34027777777777773</v>
      </c>
      <c r="T333" s="204">
        <f t="shared" si="96"/>
        <v>0.7104166666666667</v>
      </c>
      <c r="U333" s="205" t="str">
        <f t="shared" si="98"/>
        <v>H</v>
      </c>
      <c r="V333" s="272">
        <f t="shared" si="97"/>
        <v>1</v>
      </c>
      <c r="W333" s="207" t="str">
        <f>IF(Introduction!$E$7=1,CONCATENATE("🌞 ➚ ",TEXT(S333,"hh:mm")," ","➘ ",TEXT(T333,"hh:mm")),CONCATENATE("☼ ➚ ",TEXT(S333,"hh:mm")," ","➘ ",TEXT(T333,"hh:mm")))</f>
        <v>🌞 ➚ 08:10 ➘ 17:03</v>
      </c>
    </row>
    <row r="334" spans="6:23" x14ac:dyDescent="0.2">
      <c r="F334" s="198">
        <f t="shared" si="105"/>
        <v>44523</v>
      </c>
      <c r="G334" s="199">
        <f t="shared" si="99"/>
        <v>327</v>
      </c>
      <c r="H334" s="200">
        <f t="shared" si="89"/>
        <v>319.2912</v>
      </c>
      <c r="I334" s="200">
        <f t="shared" si="100"/>
        <v>-1.2681152437938998</v>
      </c>
      <c r="J334" s="200">
        <f t="shared" si="90"/>
        <v>241.02308475620612</v>
      </c>
      <c r="K334" s="200">
        <f t="shared" si="101"/>
        <v>-2.137906375562888</v>
      </c>
      <c r="L334" s="201">
        <f t="shared" si="102"/>
        <v>-13.624086477427152</v>
      </c>
      <c r="M334" s="202">
        <f t="shared" si="103"/>
        <v>0.56767026989279801</v>
      </c>
      <c r="N334" s="203">
        <f t="shared" si="104"/>
        <v>-20.365120097578398</v>
      </c>
      <c r="O334" s="200">
        <f t="shared" si="91"/>
        <v>66.340741369155182</v>
      </c>
      <c r="P334" s="200">
        <f t="shared" si="92"/>
        <v>4.422716091277012</v>
      </c>
      <c r="Q334" s="200">
        <f t="shared" si="93"/>
        <v>7.577283908722988</v>
      </c>
      <c r="R334" s="200">
        <f t="shared" si="94"/>
        <v>16.42271609127701</v>
      </c>
      <c r="S334" s="204">
        <f t="shared" si="95"/>
        <v>0.34166666666666662</v>
      </c>
      <c r="T334" s="204">
        <f t="shared" si="96"/>
        <v>0.70972222222222225</v>
      </c>
      <c r="U334" s="205" t="str">
        <f t="shared" si="98"/>
        <v>H</v>
      </c>
      <c r="V334" s="272">
        <f t="shared" si="97"/>
        <v>1</v>
      </c>
      <c r="W334" s="207" t="str">
        <f>IF(Introduction!$E$7=1,CONCATENATE("🌞 ➚ ",TEXT(S334,"hh:mm")," ","➘ ",TEXT(T334,"hh:mm")),CONCATENATE("☼ ➚ ",TEXT(S334,"hh:mm")," ","➘ ",TEXT(T334,"hh:mm")))</f>
        <v>🌞 ➚ 08:12 ➘ 17:02</v>
      </c>
    </row>
    <row r="335" spans="6:23" x14ac:dyDescent="0.2">
      <c r="F335" s="198">
        <f t="shared" si="105"/>
        <v>44524</v>
      </c>
      <c r="G335" s="199">
        <f t="shared" si="99"/>
        <v>328</v>
      </c>
      <c r="H335" s="200">
        <f t="shared" si="89"/>
        <v>320.27680000000009</v>
      </c>
      <c r="I335" s="200">
        <f t="shared" si="100"/>
        <v>-1.2428594747354982</v>
      </c>
      <c r="J335" s="200">
        <f t="shared" si="90"/>
        <v>242.0339405252646</v>
      </c>
      <c r="K335" s="200">
        <f t="shared" si="101"/>
        <v>-2.0919591387673173</v>
      </c>
      <c r="L335" s="201">
        <f t="shared" si="102"/>
        <v>-13.339274454011262</v>
      </c>
      <c r="M335" s="202">
        <f t="shared" si="103"/>
        <v>0.55580310225046925</v>
      </c>
      <c r="N335" s="203">
        <f t="shared" si="104"/>
        <v>-20.569733148107787</v>
      </c>
      <c r="O335" s="200">
        <f t="shared" si="91"/>
        <v>66.051082359173094</v>
      </c>
      <c r="P335" s="200">
        <f t="shared" si="92"/>
        <v>4.4034054906115392</v>
      </c>
      <c r="Q335" s="200">
        <f t="shared" si="93"/>
        <v>7.5965945093884608</v>
      </c>
      <c r="R335" s="200">
        <f t="shared" si="94"/>
        <v>16.40340549061154</v>
      </c>
      <c r="S335" s="204">
        <f t="shared" si="95"/>
        <v>0.34236111111111112</v>
      </c>
      <c r="T335" s="204">
        <f t="shared" si="96"/>
        <v>0.7090277777777777</v>
      </c>
      <c r="U335" s="205" t="str">
        <f t="shared" si="98"/>
        <v>H</v>
      </c>
      <c r="V335" s="272">
        <f t="shared" si="97"/>
        <v>1</v>
      </c>
      <c r="W335" s="207" t="str">
        <f>IF(Introduction!$E$7=1,CONCATENATE("🌞 ➚ ",TEXT(S335,"hh:mm")," ","➘ ",TEXT(T335,"hh:mm")),CONCATENATE("☼ ➚ ",TEXT(S335,"hh:mm")," ","➘ ",TEXT(T335,"hh:mm")))</f>
        <v>🌞 ➚ 08:13 ➘ 17:01</v>
      </c>
    </row>
    <row r="336" spans="6:23" x14ac:dyDescent="0.2">
      <c r="F336" s="198">
        <f t="shared" si="105"/>
        <v>44525</v>
      </c>
      <c r="G336" s="199">
        <f t="shared" si="99"/>
        <v>329</v>
      </c>
      <c r="H336" s="200">
        <f t="shared" si="89"/>
        <v>321.26240000000007</v>
      </c>
      <c r="I336" s="200">
        <f t="shared" si="100"/>
        <v>-1.2172184912072803</v>
      </c>
      <c r="J336" s="200">
        <f t="shared" si="90"/>
        <v>243.04518150879267</v>
      </c>
      <c r="K336" s="200">
        <f t="shared" si="101"/>
        <v>-2.0432048135789791</v>
      </c>
      <c r="L336" s="201">
        <f t="shared" si="102"/>
        <v>-13.041693219145039</v>
      </c>
      <c r="M336" s="202">
        <f t="shared" si="103"/>
        <v>0.54340388413104324</v>
      </c>
      <c r="N336" s="203">
        <f t="shared" si="104"/>
        <v>-20.767993639831367</v>
      </c>
      <c r="O336" s="200">
        <f t="shared" si="91"/>
        <v>65.769068688114757</v>
      </c>
      <c r="P336" s="200">
        <f t="shared" si="92"/>
        <v>4.3846045792076502</v>
      </c>
      <c r="Q336" s="200">
        <f t="shared" si="93"/>
        <v>7.6153954207923498</v>
      </c>
      <c r="R336" s="200">
        <f t="shared" si="94"/>
        <v>16.38460457920765</v>
      </c>
      <c r="S336" s="204">
        <f t="shared" si="95"/>
        <v>0.3430555555555555</v>
      </c>
      <c r="T336" s="204">
        <f t="shared" si="96"/>
        <v>0.7090277777777777</v>
      </c>
      <c r="U336" s="205" t="str">
        <f t="shared" si="98"/>
        <v>H</v>
      </c>
      <c r="V336" s="272">
        <f t="shared" si="97"/>
        <v>1</v>
      </c>
      <c r="W336" s="207" t="str">
        <f>IF(Introduction!$E$7=1,CONCATENATE("🌞 ➚ ",TEXT(S336,"hh:mm")," ","➘ ",TEXT(T336,"hh:mm")),CONCATENATE("☼ ➚ ",TEXT(S336,"hh:mm")," ","➘ ",TEXT(T336,"hh:mm")))</f>
        <v>🌞 ➚ 08:14 ➘ 17:01</v>
      </c>
    </row>
    <row r="337" spans="6:23" x14ac:dyDescent="0.2">
      <c r="F337" s="198">
        <f t="shared" si="105"/>
        <v>44526</v>
      </c>
      <c r="G337" s="199">
        <f t="shared" si="99"/>
        <v>330</v>
      </c>
      <c r="H337" s="200">
        <f t="shared" si="89"/>
        <v>322.24800000000005</v>
      </c>
      <c r="I337" s="200">
        <f t="shared" si="100"/>
        <v>-1.1912000025510718</v>
      </c>
      <c r="J337" s="200">
        <f t="shared" si="90"/>
        <v>244.05679999744893</v>
      </c>
      <c r="K337" s="200">
        <f t="shared" si="101"/>
        <v>-1.9916966455896978</v>
      </c>
      <c r="L337" s="201">
        <f t="shared" si="102"/>
        <v>-12.73158659256308</v>
      </c>
      <c r="M337" s="202">
        <f t="shared" si="103"/>
        <v>0.53048277469012828</v>
      </c>
      <c r="N337" s="203">
        <f t="shared" si="104"/>
        <v>-20.95980800700951</v>
      </c>
      <c r="O337" s="200">
        <f t="shared" si="91"/>
        <v>65.494937849452569</v>
      </c>
      <c r="P337" s="200">
        <f t="shared" si="92"/>
        <v>4.3663291899635048</v>
      </c>
      <c r="Q337" s="200">
        <f t="shared" si="93"/>
        <v>7.6336708100364952</v>
      </c>
      <c r="R337" s="200">
        <f t="shared" si="94"/>
        <v>16.366329189963505</v>
      </c>
      <c r="S337" s="204">
        <f t="shared" si="95"/>
        <v>0.3444444444444445</v>
      </c>
      <c r="T337" s="204">
        <f t="shared" si="96"/>
        <v>0.70833333333333337</v>
      </c>
      <c r="U337" s="205" t="str">
        <f t="shared" si="98"/>
        <v>H</v>
      </c>
      <c r="V337" s="272">
        <f t="shared" si="97"/>
        <v>1</v>
      </c>
      <c r="W337" s="207" t="str">
        <f>IF(Introduction!$E$7=1,CONCATENATE("🌞 ➚ ",TEXT(S337,"hh:mm")," ","➘ ",TEXT(T337,"hh:mm")),CONCATENATE("☼ ➚ ",TEXT(S337,"hh:mm")," ","➘ ",TEXT(T337,"hh:mm")))</f>
        <v>🌞 ➚ 08:16 ➘ 17:00</v>
      </c>
    </row>
    <row r="338" spans="6:23" x14ac:dyDescent="0.2">
      <c r="F338" s="198">
        <f t="shared" si="105"/>
        <v>44527</v>
      </c>
      <c r="G338" s="199">
        <f t="shared" si="99"/>
        <v>331</v>
      </c>
      <c r="H338" s="200">
        <f t="shared" si="89"/>
        <v>323.23360000000002</v>
      </c>
      <c r="I338" s="200">
        <f t="shared" si="100"/>
        <v>-1.164811850322639</v>
      </c>
      <c r="J338" s="200">
        <f t="shared" si="90"/>
        <v>245.0687881496774</v>
      </c>
      <c r="K338" s="200">
        <f t="shared" si="101"/>
        <v>-1.9374924489724934</v>
      </c>
      <c r="L338" s="201">
        <f t="shared" si="102"/>
        <v>-12.40921719718053</v>
      </c>
      <c r="M338" s="202">
        <f t="shared" si="103"/>
        <v>0.51705071654918877</v>
      </c>
      <c r="N338" s="203">
        <f t="shared" si="104"/>
        <v>-21.14508473363578</v>
      </c>
      <c r="O338" s="200">
        <f t="shared" si="91"/>
        <v>65.228926919588943</v>
      </c>
      <c r="P338" s="200">
        <f t="shared" si="92"/>
        <v>4.3485951279725965</v>
      </c>
      <c r="Q338" s="200">
        <f t="shared" si="93"/>
        <v>7.6514048720274035</v>
      </c>
      <c r="R338" s="200">
        <f t="shared" si="94"/>
        <v>16.348595127972597</v>
      </c>
      <c r="S338" s="204">
        <f t="shared" si="95"/>
        <v>0.34513888888888888</v>
      </c>
      <c r="T338" s="204">
        <f t="shared" si="96"/>
        <v>0.70763888888888893</v>
      </c>
      <c r="U338" s="205" t="str">
        <f t="shared" si="98"/>
        <v>H</v>
      </c>
      <c r="V338" s="272">
        <f t="shared" si="97"/>
        <v>1</v>
      </c>
      <c r="W338" s="207" t="str">
        <f>IF(Introduction!$E$7=1,CONCATENATE("🌞 ➚ ",TEXT(S338,"hh:mm")," ","➘ ",TEXT(T338,"hh:mm")),CONCATENATE("☼ ➚ ",TEXT(S338,"hh:mm")," ","➘ ",TEXT(T338,"hh:mm")))</f>
        <v>🌞 ➚ 08:17 ➘ 16:59</v>
      </c>
    </row>
    <row r="339" spans="6:23" x14ac:dyDescent="0.2">
      <c r="F339" s="198">
        <f t="shared" si="105"/>
        <v>44528</v>
      </c>
      <c r="G339" s="199">
        <f t="shared" si="99"/>
        <v>332</v>
      </c>
      <c r="H339" s="200">
        <f t="shared" si="89"/>
        <v>324.2192</v>
      </c>
      <c r="I339" s="200">
        <f t="shared" si="100"/>
        <v>-1.1380620058025148</v>
      </c>
      <c r="J339" s="200">
        <f t="shared" si="90"/>
        <v>246.08113799419743</v>
      </c>
      <c r="K339" s="200">
        <f t="shared" si="101"/>
        <v>-1.8806545632540579</v>
      </c>
      <c r="L339" s="201">
        <f t="shared" si="102"/>
        <v>-12.074866276226292</v>
      </c>
      <c r="M339" s="202">
        <f t="shared" si="103"/>
        <v>0.50311942817609545</v>
      </c>
      <c r="N339" s="203">
        <f t="shared" si="104"/>
        <v>-21.323734470005135</v>
      </c>
      <c r="O339" s="200">
        <f t="shared" si="91"/>
        <v>64.971271971825942</v>
      </c>
      <c r="P339" s="200">
        <f t="shared" si="92"/>
        <v>4.331418131455063</v>
      </c>
      <c r="Q339" s="200">
        <f t="shared" si="93"/>
        <v>7.668581868544937</v>
      </c>
      <c r="R339" s="200">
        <f t="shared" si="94"/>
        <v>16.331418131455063</v>
      </c>
      <c r="S339" s="204">
        <f t="shared" si="95"/>
        <v>0.34652777777777777</v>
      </c>
      <c r="T339" s="204">
        <f t="shared" si="96"/>
        <v>0.70694444444444438</v>
      </c>
      <c r="U339" s="205" t="str">
        <f t="shared" si="98"/>
        <v>H</v>
      </c>
      <c r="V339" s="272">
        <f t="shared" si="97"/>
        <v>1</v>
      </c>
      <c r="W339" s="207" t="str">
        <f>IF(Introduction!$E$7=1,CONCATENATE("🌞 ➚ ",TEXT(S339,"hh:mm")," ","➘ ",TEXT(T339,"hh:mm")),CONCATENATE("☼ ➚ ",TEXT(S339,"hh:mm")," ","➘ ",TEXT(T339,"hh:mm")))</f>
        <v>🌞 ➚ 08:19 ➘ 16:58</v>
      </c>
    </row>
    <row r="340" spans="6:23" x14ac:dyDescent="0.2">
      <c r="F340" s="198">
        <f t="shared" si="105"/>
        <v>44529</v>
      </c>
      <c r="G340" s="199">
        <f t="shared" si="99"/>
        <v>333</v>
      </c>
      <c r="H340" s="200">
        <f t="shared" si="89"/>
        <v>325.20479999999998</v>
      </c>
      <c r="I340" s="200">
        <f t="shared" si="100"/>
        <v>-1.1109585674443569</v>
      </c>
      <c r="J340" s="200">
        <f t="shared" si="90"/>
        <v>247.09384143255568</v>
      </c>
      <c r="K340" s="200">
        <f t="shared" si="101"/>
        <v>-1.8212497987799605</v>
      </c>
      <c r="L340" s="201">
        <f t="shared" si="102"/>
        <v>-11.728833464897271</v>
      </c>
      <c r="M340" s="202">
        <f t="shared" si="103"/>
        <v>0.48870139437071963</v>
      </c>
      <c r="N340" s="203">
        <f t="shared" si="104"/>
        <v>-21.495670149445974</v>
      </c>
      <c r="O340" s="200">
        <f t="shared" si="91"/>
        <v>64.722207464655085</v>
      </c>
      <c r="P340" s="200">
        <f t="shared" si="92"/>
        <v>4.3148138309770054</v>
      </c>
      <c r="Q340" s="200">
        <f t="shared" si="93"/>
        <v>7.6851861690229946</v>
      </c>
      <c r="R340" s="200">
        <f t="shared" si="94"/>
        <v>16.314813830977005</v>
      </c>
      <c r="S340" s="204">
        <f t="shared" si="95"/>
        <v>0.34722222222222227</v>
      </c>
      <c r="T340" s="204">
        <f t="shared" si="96"/>
        <v>0.70694444444444438</v>
      </c>
      <c r="U340" s="205" t="str">
        <f t="shared" si="98"/>
        <v>H</v>
      </c>
      <c r="V340" s="272">
        <f t="shared" si="97"/>
        <v>1</v>
      </c>
      <c r="W340" s="207" t="str">
        <f>IF(Introduction!$E$7=1,CONCATENATE("🌞 ➚ ",TEXT(S340,"hh:mm")," ","➘ ",TEXT(T340,"hh:mm")),CONCATENATE("☼ ➚ ",TEXT(S340,"hh:mm")," ","➘ ",TEXT(T340,"hh:mm")))</f>
        <v>🌞 ➚ 08:20 ➘ 16:58</v>
      </c>
    </row>
    <row r="341" spans="6:23" x14ac:dyDescent="0.2">
      <c r="F341" s="198">
        <f t="shared" si="105"/>
        <v>44530</v>
      </c>
      <c r="G341" s="199">
        <f t="shared" si="99"/>
        <v>334</v>
      </c>
      <c r="H341" s="200">
        <f t="shared" si="89"/>
        <v>326.19039999999995</v>
      </c>
      <c r="I341" s="200">
        <f t="shared" si="100"/>
        <v>-1.0835097582618278</v>
      </c>
      <c r="J341" s="200">
        <f t="shared" si="90"/>
        <v>248.10689024173826</v>
      </c>
      <c r="K341" s="200">
        <f t="shared" si="101"/>
        <v>-1.7593493708059009</v>
      </c>
      <c r="L341" s="201">
        <f t="shared" si="102"/>
        <v>-11.371436516270915</v>
      </c>
      <c r="M341" s="202">
        <f t="shared" si="103"/>
        <v>0.47380985484462146</v>
      </c>
      <c r="N341" s="203">
        <f t="shared" si="104"/>
        <v>-21.660807104874117</v>
      </c>
      <c r="O341" s="200">
        <f t="shared" si="91"/>
        <v>64.48196560648168</v>
      </c>
      <c r="P341" s="200">
        <f t="shared" si="92"/>
        <v>4.2987977070987791</v>
      </c>
      <c r="Q341" s="200">
        <f t="shared" si="93"/>
        <v>7.7012022929012209</v>
      </c>
      <c r="R341" s="200">
        <f t="shared" si="94"/>
        <v>16.298797707098778</v>
      </c>
      <c r="S341" s="204">
        <f t="shared" si="95"/>
        <v>0.34791666666666665</v>
      </c>
      <c r="T341" s="204">
        <f t="shared" si="96"/>
        <v>0.70624999999999993</v>
      </c>
      <c r="U341" s="205" t="str">
        <f t="shared" si="98"/>
        <v>H</v>
      </c>
      <c r="V341" s="272">
        <f t="shared" si="97"/>
        <v>1</v>
      </c>
      <c r="W341" s="207" t="str">
        <f>IF(Introduction!$E$7=1,CONCATENATE("🌞 ➚ ",TEXT(S341,"hh:mm")," ","➘ ",TEXT(T341,"hh:mm")),CONCATENATE("☼ ➚ ",TEXT(S341,"hh:mm")," ","➘ ",TEXT(T341,"hh:mm")))</f>
        <v>🌞 ➚ 08:21 ➘ 16:57</v>
      </c>
    </row>
    <row r="342" spans="6:23" x14ac:dyDescent="0.2">
      <c r="F342" s="198">
        <f t="shared" si="105"/>
        <v>44531</v>
      </c>
      <c r="G342" s="199">
        <f t="shared" si="99"/>
        <v>335</v>
      </c>
      <c r="H342" s="200">
        <f t="shared" si="89"/>
        <v>327.17599999999993</v>
      </c>
      <c r="I342" s="200">
        <f t="shared" si="100"/>
        <v>-1.0557239231550437</v>
      </c>
      <c r="J342" s="200">
        <f t="shared" si="90"/>
        <v>249.1202760768449</v>
      </c>
      <c r="K342" s="200">
        <f t="shared" si="101"/>
        <v>-1.6950288221910357</v>
      </c>
      <c r="L342" s="201">
        <f t="shared" si="102"/>
        <v>-11.003010981384318</v>
      </c>
      <c r="M342" s="202">
        <f t="shared" si="103"/>
        <v>0.45845879089101321</v>
      </c>
      <c r="N342" s="203">
        <f t="shared" si="104"/>
        <v>-21.819063184815054</v>
      </c>
      <c r="O342" s="200">
        <f t="shared" si="91"/>
        <v>64.250775699240478</v>
      </c>
      <c r="P342" s="200">
        <f t="shared" si="92"/>
        <v>4.2833850466160319</v>
      </c>
      <c r="Q342" s="200">
        <f t="shared" si="93"/>
        <v>7.7166149533839681</v>
      </c>
      <c r="R342" s="200">
        <f t="shared" si="94"/>
        <v>16.283385046616033</v>
      </c>
      <c r="S342" s="204">
        <f t="shared" si="95"/>
        <v>0.34930555555555554</v>
      </c>
      <c r="T342" s="204">
        <f t="shared" si="96"/>
        <v>0.70624999999999993</v>
      </c>
      <c r="U342" s="205" t="str">
        <f t="shared" si="98"/>
        <v>H</v>
      </c>
      <c r="V342" s="272">
        <f t="shared" si="97"/>
        <v>1</v>
      </c>
      <c r="W342" s="207" t="str">
        <f>IF(Introduction!$E$7=1,CONCATENATE("🌞 ➚ ",TEXT(S342,"hh:mm")," ","➘ ",TEXT(T342,"hh:mm")),CONCATENATE("☼ ➚ ",TEXT(S342,"hh:mm")," ","➘ ",TEXT(T342,"hh:mm")))</f>
        <v>🌞 ➚ 08:23 ➘ 16:57</v>
      </c>
    </row>
    <row r="343" spans="6:23" x14ac:dyDescent="0.2">
      <c r="F343" s="198">
        <f t="shared" si="105"/>
        <v>44532</v>
      </c>
      <c r="G343" s="199">
        <f t="shared" si="99"/>
        <v>336</v>
      </c>
      <c r="H343" s="200">
        <f t="shared" si="89"/>
        <v>328.16160000000002</v>
      </c>
      <c r="I343" s="200">
        <f t="shared" si="100"/>
        <v>-1.0276095261776277</v>
      </c>
      <c r="J343" s="200">
        <f t="shared" si="90"/>
        <v>250.13399047382245</v>
      </c>
      <c r="K343" s="200">
        <f t="shared" si="101"/>
        <v>-1.6283679347136499</v>
      </c>
      <c r="L343" s="201">
        <f t="shared" si="102"/>
        <v>-10.62390984356511</v>
      </c>
      <c r="M343" s="202">
        <f t="shared" si="103"/>
        <v>0.44266291014854625</v>
      </c>
      <c r="N343" s="203">
        <f t="shared" si="104"/>
        <v>-21.970358868528717</v>
      </c>
      <c r="O343" s="200">
        <f t="shared" si="91"/>
        <v>64.02886346370336</v>
      </c>
      <c r="P343" s="200">
        <f t="shared" si="92"/>
        <v>4.268590897580224</v>
      </c>
      <c r="Q343" s="200">
        <f t="shared" si="93"/>
        <v>7.731409102419776</v>
      </c>
      <c r="R343" s="200">
        <f t="shared" si="94"/>
        <v>16.268590897580225</v>
      </c>
      <c r="S343" s="204">
        <f t="shared" si="95"/>
        <v>0.35000000000000003</v>
      </c>
      <c r="T343" s="204">
        <f t="shared" si="96"/>
        <v>0.7055555555555556</v>
      </c>
      <c r="U343" s="205" t="str">
        <f t="shared" si="98"/>
        <v>H</v>
      </c>
      <c r="V343" s="272">
        <f t="shared" si="97"/>
        <v>1</v>
      </c>
      <c r="W343" s="207" t="str">
        <f>IF(Introduction!$E$7=1,CONCATENATE("🌞 ➚ ",TEXT(S343,"hh:mm")," ","➘ ",TEXT(T343,"hh:mm")),CONCATENATE("☼ ➚ ",TEXT(S343,"hh:mm")," ","➘ ",TEXT(T343,"hh:mm")))</f>
        <v>🌞 ➚ 08:24 ➘ 16:56</v>
      </c>
    </row>
    <row r="344" spans="6:23" x14ac:dyDescent="0.2">
      <c r="F344" s="198">
        <f t="shared" si="105"/>
        <v>44533</v>
      </c>
      <c r="G344" s="199">
        <f t="shared" si="99"/>
        <v>337</v>
      </c>
      <c r="H344" s="200">
        <f t="shared" si="89"/>
        <v>329.1472</v>
      </c>
      <c r="I344" s="200">
        <f t="shared" si="100"/>
        <v>-0.99917514774554939</v>
      </c>
      <c r="J344" s="200">
        <f t="shared" si="90"/>
        <v>251.14802485225437</v>
      </c>
      <c r="K344" s="200">
        <f t="shared" si="101"/>
        <v>-1.5594506290738259</v>
      </c>
      <c r="L344" s="201">
        <f t="shared" si="102"/>
        <v>-10.234503107277501</v>
      </c>
      <c r="M344" s="202">
        <f t="shared" si="103"/>
        <v>0.42643762946989588</v>
      </c>
      <c r="N344" s="203">
        <f t="shared" si="104"/>
        <v>-22.114617379862018</v>
      </c>
      <c r="O344" s="200">
        <f t="shared" si="91"/>
        <v>63.816450349617931</v>
      </c>
      <c r="P344" s="200">
        <f t="shared" si="92"/>
        <v>4.2544300233078625</v>
      </c>
      <c r="Q344" s="200">
        <f t="shared" si="93"/>
        <v>7.7455699766921375</v>
      </c>
      <c r="R344" s="200">
        <f t="shared" si="94"/>
        <v>16.254430023307862</v>
      </c>
      <c r="S344" s="204">
        <f t="shared" si="95"/>
        <v>0.35069444444444442</v>
      </c>
      <c r="T344" s="204">
        <f t="shared" si="96"/>
        <v>0.7055555555555556</v>
      </c>
      <c r="U344" s="205" t="str">
        <f t="shared" si="98"/>
        <v>H</v>
      </c>
      <c r="V344" s="272">
        <f t="shared" si="97"/>
        <v>1</v>
      </c>
      <c r="W344" s="207" t="str">
        <f>IF(Introduction!$E$7=1,CONCATENATE("🌞 ➚ ",TEXT(S344,"hh:mm")," ","➘ ",TEXT(T344,"hh:mm")),CONCATENATE("☼ ➚ ",TEXT(S344,"hh:mm")," ","➘ ",TEXT(T344,"hh:mm")))</f>
        <v>🌞 ➚ 08:25 ➘ 16:56</v>
      </c>
    </row>
    <row r="345" spans="6:23" x14ac:dyDescent="0.2">
      <c r="F345" s="198">
        <f t="shared" si="105"/>
        <v>44534</v>
      </c>
      <c r="G345" s="199">
        <f t="shared" si="99"/>
        <v>338</v>
      </c>
      <c r="H345" s="200">
        <f t="shared" si="89"/>
        <v>330.13280000000009</v>
      </c>
      <c r="I345" s="200">
        <f t="shared" si="100"/>
        <v>-0.97042948178882993</v>
      </c>
      <c r="J345" s="200">
        <f t="shared" si="90"/>
        <v>252.16237051821122</v>
      </c>
      <c r="K345" s="200">
        <f t="shared" si="101"/>
        <v>-1.4883648536921403</v>
      </c>
      <c r="L345" s="201">
        <f t="shared" si="102"/>
        <v>-9.835177341923881</v>
      </c>
      <c r="M345" s="202">
        <f t="shared" si="103"/>
        <v>0.40979905591349503</v>
      </c>
      <c r="N345" s="203">
        <f t="shared" si="104"/>
        <v>-22.251764799447866</v>
      </c>
      <c r="O345" s="200">
        <f t="shared" si="91"/>
        <v>63.613752834142858</v>
      </c>
      <c r="P345" s="200">
        <f t="shared" si="92"/>
        <v>4.240916855609524</v>
      </c>
      <c r="Q345" s="200">
        <f t="shared" si="93"/>
        <v>7.759083144390476</v>
      </c>
      <c r="R345" s="200">
        <f t="shared" si="94"/>
        <v>16.240916855609523</v>
      </c>
      <c r="S345" s="204">
        <f t="shared" si="95"/>
        <v>0.35138888888888892</v>
      </c>
      <c r="T345" s="204">
        <f t="shared" si="96"/>
        <v>0.70486111111111116</v>
      </c>
      <c r="U345" s="205" t="str">
        <f t="shared" si="98"/>
        <v>H</v>
      </c>
      <c r="V345" s="272">
        <f t="shared" si="97"/>
        <v>1</v>
      </c>
      <c r="W345" s="207" t="str">
        <f>IF(Introduction!$E$7=1,CONCATENATE("🌞 ➚ ",TEXT(S345,"hh:mm")," ","➘ ",TEXT(T345,"hh:mm")),CONCATENATE("☼ ➚ ",TEXT(S345,"hh:mm")," ","➘ ",TEXT(T345,"hh:mm")))</f>
        <v>🌞 ➚ 08:26 ➘ 16:55</v>
      </c>
    </row>
    <row r="346" spans="6:23" x14ac:dyDescent="0.2">
      <c r="F346" s="198">
        <f t="shared" si="105"/>
        <v>44535</v>
      </c>
      <c r="G346" s="199">
        <f t="shared" si="99"/>
        <v>339</v>
      </c>
      <c r="H346" s="200">
        <f t="shared" si="89"/>
        <v>331.11840000000007</v>
      </c>
      <c r="I346" s="200">
        <f t="shared" si="100"/>
        <v>-0.94138133284742587</v>
      </c>
      <c r="J346" s="200">
        <f t="shared" si="90"/>
        <v>253.17701866715265</v>
      </c>
      <c r="K346" s="200">
        <f t="shared" si="101"/>
        <v>-1.4152024624593265</v>
      </c>
      <c r="L346" s="201">
        <f t="shared" si="102"/>
        <v>-9.4263351812270102</v>
      </c>
      <c r="M346" s="202">
        <f t="shared" si="103"/>
        <v>0.39276396588445878</v>
      </c>
      <c r="N346" s="203">
        <f t="shared" si="104"/>
        <v>-22.381730174861836</v>
      </c>
      <c r="O346" s="200">
        <f t="shared" si="91"/>
        <v>63.420981712359939</v>
      </c>
      <c r="P346" s="200">
        <f t="shared" si="92"/>
        <v>4.2280654474906623</v>
      </c>
      <c r="Q346" s="200">
        <f t="shared" si="93"/>
        <v>7.7719345525093377</v>
      </c>
      <c r="R346" s="200">
        <f t="shared" si="94"/>
        <v>16.228065447490664</v>
      </c>
      <c r="S346" s="204">
        <f t="shared" si="95"/>
        <v>0.3520833333333333</v>
      </c>
      <c r="T346" s="204">
        <f t="shared" si="96"/>
        <v>0.70486111111111116</v>
      </c>
      <c r="U346" s="205" t="str">
        <f t="shared" si="98"/>
        <v>H</v>
      </c>
      <c r="V346" s="272">
        <f t="shared" si="97"/>
        <v>1</v>
      </c>
      <c r="W346" s="207" t="str">
        <f>IF(Introduction!$E$7=1,CONCATENATE("🌞 ➚ ",TEXT(S346,"hh:mm")," ","➘ ",TEXT(T346,"hh:mm")),CONCATENATE("☼ ➚ ",TEXT(S346,"hh:mm")," ","➘ ",TEXT(T346,"hh:mm")))</f>
        <v>🌞 ➚ 08:27 ➘ 16:55</v>
      </c>
    </row>
    <row r="347" spans="6:23" x14ac:dyDescent="0.2">
      <c r="F347" s="198">
        <f t="shared" si="105"/>
        <v>44536</v>
      </c>
      <c r="G347" s="199">
        <f t="shared" si="99"/>
        <v>340</v>
      </c>
      <c r="H347" s="200">
        <f t="shared" si="89"/>
        <v>332.10400000000004</v>
      </c>
      <c r="I347" s="200">
        <f t="shared" si="100"/>
        <v>-0.91203961311243387</v>
      </c>
      <c r="J347" s="200">
        <f t="shared" si="90"/>
        <v>254.19196038688756</v>
      </c>
      <c r="K347" s="200">
        <f t="shared" si="101"/>
        <v>-1.3400590816356588</v>
      </c>
      <c r="L347" s="201">
        <f t="shared" si="102"/>
        <v>-9.0083947789923702</v>
      </c>
      <c r="M347" s="202">
        <f t="shared" si="103"/>
        <v>0.37534978245801542</v>
      </c>
      <c r="N347" s="203">
        <f t="shared" si="104"/>
        <v>-22.504445628346641</v>
      </c>
      <c r="O347" s="200">
        <f t="shared" si="91"/>
        <v>63.238341383929367</v>
      </c>
      <c r="P347" s="200">
        <f t="shared" si="92"/>
        <v>4.2158894255952912</v>
      </c>
      <c r="Q347" s="200">
        <f t="shared" si="93"/>
        <v>7.7841105744047088</v>
      </c>
      <c r="R347" s="200">
        <f t="shared" si="94"/>
        <v>16.215889425595293</v>
      </c>
      <c r="S347" s="204">
        <f t="shared" si="95"/>
        <v>0.35347222222222219</v>
      </c>
      <c r="T347" s="204">
        <f t="shared" si="96"/>
        <v>0.70486111111111116</v>
      </c>
      <c r="U347" s="205" t="str">
        <f t="shared" si="98"/>
        <v>H</v>
      </c>
      <c r="V347" s="272">
        <f t="shared" si="97"/>
        <v>1</v>
      </c>
      <c r="W347" s="207" t="str">
        <f>IF(Introduction!$E$7=1,CONCATENATE("🌞 ➚ ",TEXT(S347,"hh:mm")," ","➘ ",TEXT(T347,"hh:mm")),CONCATENATE("☼ ➚ ",TEXT(S347,"hh:mm")," ","➘ ",TEXT(T347,"hh:mm")))</f>
        <v>🌞 ➚ 08:29 ➘ 16:55</v>
      </c>
    </row>
    <row r="348" spans="6:23" x14ac:dyDescent="0.2">
      <c r="F348" s="198">
        <f t="shared" si="105"/>
        <v>44537</v>
      </c>
      <c r="G348" s="199">
        <f t="shared" si="99"/>
        <v>341</v>
      </c>
      <c r="H348" s="200">
        <f t="shared" si="89"/>
        <v>333.08960000000002</v>
      </c>
      <c r="I348" s="200">
        <f t="shared" si="100"/>
        <v>-0.88241333941401245</v>
      </c>
      <c r="J348" s="200">
        <f t="shared" si="90"/>
        <v>255.20718666058599</v>
      </c>
      <c r="K348" s="200">
        <f t="shared" si="101"/>
        <v>-1.263033966144397</v>
      </c>
      <c r="L348" s="201">
        <f t="shared" si="102"/>
        <v>-8.5817892222336383</v>
      </c>
      <c r="M348" s="202">
        <f t="shared" si="103"/>
        <v>0.35757455092640161</v>
      </c>
      <c r="N348" s="203">
        <f t="shared" si="104"/>
        <v>-22.619846461711294</v>
      </c>
      <c r="O348" s="200">
        <f t="shared" si="91"/>
        <v>63.066029140219591</v>
      </c>
      <c r="P348" s="200">
        <f t="shared" si="92"/>
        <v>4.2044019426813062</v>
      </c>
      <c r="Q348" s="200">
        <f t="shared" si="93"/>
        <v>7.7955980573186938</v>
      </c>
      <c r="R348" s="200">
        <f t="shared" si="94"/>
        <v>16.204401942681308</v>
      </c>
      <c r="S348" s="204">
        <f t="shared" si="95"/>
        <v>0.35416666666666669</v>
      </c>
      <c r="T348" s="204">
        <f t="shared" si="96"/>
        <v>0.70416666666666661</v>
      </c>
      <c r="U348" s="205" t="str">
        <f t="shared" si="98"/>
        <v>H</v>
      </c>
      <c r="V348" s="272">
        <f t="shared" si="97"/>
        <v>1</v>
      </c>
      <c r="W348" s="207" t="str">
        <f>IF(Introduction!$E$7=1,CONCATENATE("🌞 ➚ ",TEXT(S348,"hh:mm")," ","➘ ",TEXT(T348,"hh:mm")),CONCATENATE("☼ ➚ ",TEXT(S348,"hh:mm")," ","➘ ",TEXT(T348,"hh:mm")))</f>
        <v>🌞 ➚ 08:30 ➘ 16:54</v>
      </c>
    </row>
    <row r="349" spans="6:23" x14ac:dyDescent="0.2">
      <c r="F349" s="198">
        <f t="shared" si="105"/>
        <v>44538</v>
      </c>
      <c r="G349" s="199">
        <f t="shared" si="99"/>
        <v>342</v>
      </c>
      <c r="H349" s="200">
        <f t="shared" si="89"/>
        <v>334.0752</v>
      </c>
      <c r="I349" s="200">
        <f t="shared" si="100"/>
        <v>-0.85251163015728215</v>
      </c>
      <c r="J349" s="200">
        <f t="shared" si="90"/>
        <v>256.22268836984267</v>
      </c>
      <c r="K349" s="200">
        <f t="shared" si="101"/>
        <v>-1.1842298455471545</v>
      </c>
      <c r="L349" s="201">
        <f t="shared" si="102"/>
        <v>-8.1469659028177475</v>
      </c>
      <c r="M349" s="202">
        <f t="shared" si="103"/>
        <v>0.33945691261740613</v>
      </c>
      <c r="N349" s="203">
        <f t="shared" si="104"/>
        <v>-22.72787125801436</v>
      </c>
      <c r="O349" s="200">
        <f t="shared" si="91"/>
        <v>62.904234456467435</v>
      </c>
      <c r="P349" s="200">
        <f t="shared" si="92"/>
        <v>4.1936156304311627</v>
      </c>
      <c r="Q349" s="200">
        <f t="shared" si="93"/>
        <v>7.8063843695688373</v>
      </c>
      <c r="R349" s="200">
        <f t="shared" si="94"/>
        <v>16.193615630431161</v>
      </c>
      <c r="S349" s="204">
        <f t="shared" si="95"/>
        <v>0.35486111111111113</v>
      </c>
      <c r="T349" s="204">
        <f t="shared" si="96"/>
        <v>0.70416666666666661</v>
      </c>
      <c r="U349" s="205" t="str">
        <f t="shared" si="98"/>
        <v>H</v>
      </c>
      <c r="V349" s="272">
        <f t="shared" si="97"/>
        <v>1</v>
      </c>
      <c r="W349" s="207" t="str">
        <f>IF(Introduction!$E$7=1,CONCATENATE("🌞 ➚ ",TEXT(S349,"hh:mm")," ","➘ ",TEXT(T349,"hh:mm")),CONCATENATE("☼ ➚ ",TEXT(S349,"hh:mm")," ","➘ ",TEXT(T349,"hh:mm")))</f>
        <v>🌞 ➚ 08:31 ➘ 16:54</v>
      </c>
    </row>
    <row r="350" spans="6:23" x14ac:dyDescent="0.2">
      <c r="F350" s="198">
        <f t="shared" si="105"/>
        <v>44539</v>
      </c>
      <c r="G350" s="199">
        <f t="shared" si="99"/>
        <v>343</v>
      </c>
      <c r="H350" s="200">
        <f t="shared" si="89"/>
        <v>335.06079999999997</v>
      </c>
      <c r="I350" s="200">
        <f t="shared" si="100"/>
        <v>-0.82234370220760555</v>
      </c>
      <c r="J350" s="200">
        <f t="shared" si="90"/>
        <v>257.23845629779248</v>
      </c>
      <c r="K350" s="200">
        <f t="shared" si="101"/>
        <v>-1.1037527600325114</v>
      </c>
      <c r="L350" s="201">
        <f t="shared" si="102"/>
        <v>-7.7043858489604684</v>
      </c>
      <c r="M350" s="202">
        <f t="shared" si="103"/>
        <v>0.3210160770400195</v>
      </c>
      <c r="N350" s="203">
        <f t="shared" si="104"/>
        <v>-22.828461979643667</v>
      </c>
      <c r="O350" s="200">
        <f t="shared" si="91"/>
        <v>62.75313829371229</v>
      </c>
      <c r="P350" s="200">
        <f t="shared" si="92"/>
        <v>4.1835425529141528</v>
      </c>
      <c r="Q350" s="200">
        <f t="shared" si="93"/>
        <v>7.8164574470858472</v>
      </c>
      <c r="R350" s="200">
        <f t="shared" si="94"/>
        <v>16.183542552914155</v>
      </c>
      <c r="S350" s="204">
        <f t="shared" si="95"/>
        <v>0.35555555555555557</v>
      </c>
      <c r="T350" s="204">
        <f t="shared" si="96"/>
        <v>0.70416666666666661</v>
      </c>
      <c r="U350" s="205" t="str">
        <f t="shared" si="98"/>
        <v>H</v>
      </c>
      <c r="V350" s="272">
        <f t="shared" si="97"/>
        <v>1</v>
      </c>
      <c r="W350" s="207" t="str">
        <f>IF(Introduction!$E$7=1,CONCATENATE("🌞 ➚ ",TEXT(S350,"hh:mm")," ","➘ ",TEXT(T350,"hh:mm")),CONCATENATE("☼ ➚ ",TEXT(S350,"hh:mm")," ","➘ ",TEXT(T350,"hh:mm")))</f>
        <v>🌞 ➚ 08:32 ➘ 16:54</v>
      </c>
    </row>
    <row r="351" spans="6:23" x14ac:dyDescent="0.2">
      <c r="F351" s="198">
        <f t="shared" si="105"/>
        <v>44540</v>
      </c>
      <c r="G351" s="199">
        <f t="shared" si="99"/>
        <v>344</v>
      </c>
      <c r="H351" s="200">
        <f t="shared" si="89"/>
        <v>336.04639999999995</v>
      </c>
      <c r="I351" s="200">
        <f t="shared" si="100"/>
        <v>-0.7919188677266773</v>
      </c>
      <c r="J351" s="200">
        <f t="shared" si="90"/>
        <v>258.25448113227333</v>
      </c>
      <c r="K351" s="200">
        <f t="shared" si="101"/>
        <v>-1.0217118867917794</v>
      </c>
      <c r="L351" s="201">
        <f t="shared" si="102"/>
        <v>-7.2545230180738267</v>
      </c>
      <c r="M351" s="202">
        <f t="shared" si="103"/>
        <v>0.30227179241974278</v>
      </c>
      <c r="N351" s="203">
        <f t="shared" si="104"/>
        <v>-22.921564062410816</v>
      </c>
      <c r="O351" s="200">
        <f t="shared" si="91"/>
        <v>62.612912415388266</v>
      </c>
      <c r="P351" s="200">
        <f t="shared" si="92"/>
        <v>4.1741941610258841</v>
      </c>
      <c r="Q351" s="200">
        <f t="shared" si="93"/>
        <v>7.8258058389741159</v>
      </c>
      <c r="R351" s="200">
        <f t="shared" si="94"/>
        <v>16.174194161025884</v>
      </c>
      <c r="S351" s="204">
        <f t="shared" si="95"/>
        <v>0.35625000000000001</v>
      </c>
      <c r="T351" s="204">
        <f t="shared" si="96"/>
        <v>0.70416666666666661</v>
      </c>
      <c r="U351" s="205" t="str">
        <f t="shared" si="98"/>
        <v>H</v>
      </c>
      <c r="V351" s="272">
        <f t="shared" si="97"/>
        <v>1</v>
      </c>
      <c r="W351" s="207" t="str">
        <f>IF(Introduction!$E$7=1,CONCATENATE("🌞 ➚ ",TEXT(S351,"hh:mm")," ","➘ ",TEXT(T351,"hh:mm")),CONCATENATE("☼ ➚ ",TEXT(S351,"hh:mm")," ","➘ ",TEXT(T351,"hh:mm")))</f>
        <v>🌞 ➚ 08:33 ➘ 16:54</v>
      </c>
    </row>
    <row r="352" spans="6:23" x14ac:dyDescent="0.2">
      <c r="F352" s="198">
        <f t="shared" si="105"/>
        <v>44541</v>
      </c>
      <c r="G352" s="199">
        <f t="shared" si="99"/>
        <v>345</v>
      </c>
      <c r="H352" s="200">
        <f t="shared" si="89"/>
        <v>337.03200000000004</v>
      </c>
      <c r="I352" s="200">
        <f t="shared" si="100"/>
        <v>-0.7612465309608456</v>
      </c>
      <c r="J352" s="200">
        <f t="shared" si="90"/>
        <v>259.27075346903916</v>
      </c>
      <c r="K352" s="200">
        <f t="shared" si="101"/>
        <v>-0.93821935719643368</v>
      </c>
      <c r="L352" s="201">
        <f t="shared" si="102"/>
        <v>-6.7978635526291171</v>
      </c>
      <c r="M352" s="202">
        <f t="shared" si="103"/>
        <v>0.28324431469287986</v>
      </c>
      <c r="N352" s="203">
        <f t="shared" si="104"/>
        <v>-23.0071265052879</v>
      </c>
      <c r="O352" s="200">
        <f t="shared" si="91"/>
        <v>62.483718723547</v>
      </c>
      <c r="P352" s="200">
        <f t="shared" si="92"/>
        <v>4.1655812482364665</v>
      </c>
      <c r="Q352" s="200">
        <f t="shared" si="93"/>
        <v>7.8344187517635335</v>
      </c>
      <c r="R352" s="200">
        <f t="shared" si="94"/>
        <v>16.165581248236467</v>
      </c>
      <c r="S352" s="204">
        <f t="shared" si="95"/>
        <v>0.35694444444444445</v>
      </c>
      <c r="T352" s="204">
        <f t="shared" si="96"/>
        <v>0.70416666666666661</v>
      </c>
      <c r="U352" s="205" t="str">
        <f t="shared" si="98"/>
        <v>H</v>
      </c>
      <c r="V352" s="272">
        <f t="shared" si="97"/>
        <v>1</v>
      </c>
      <c r="W352" s="207" t="str">
        <f>IF(Introduction!$E$7=1,CONCATENATE("🌞 ➚ ",TEXT(S352,"hh:mm")," ","➘ ",TEXT(T352,"hh:mm")),CONCATENATE("☼ ➚ ",TEXT(S352,"hh:mm")," ","➘ ",TEXT(T352,"hh:mm")))</f>
        <v>🌞 ➚ 08:34 ➘ 16:54</v>
      </c>
    </row>
    <row r="353" spans="6:23" x14ac:dyDescent="0.2">
      <c r="F353" s="198">
        <f t="shared" si="105"/>
        <v>44542</v>
      </c>
      <c r="G353" s="199">
        <f t="shared" si="99"/>
        <v>346</v>
      </c>
      <c r="H353" s="200">
        <f t="shared" si="89"/>
        <v>338.01760000000002</v>
      </c>
      <c r="I353" s="200">
        <f t="shared" si="100"/>
        <v>-0.73033618498318531</v>
      </c>
      <c r="J353" s="200">
        <f t="shared" si="90"/>
        <v>260.28726381501679</v>
      </c>
      <c r="K353" s="200">
        <f t="shared" si="101"/>
        <v>-0.85339006523214089</v>
      </c>
      <c r="L353" s="201">
        <f t="shared" si="102"/>
        <v>-6.3349050008613048</v>
      </c>
      <c r="M353" s="202">
        <f t="shared" si="103"/>
        <v>0.2639543750358877</v>
      </c>
      <c r="N353" s="203">
        <f t="shared" si="104"/>
        <v>-23.085101955424168</v>
      </c>
      <c r="O353" s="200">
        <f t="shared" si="91"/>
        <v>62.365708619718042</v>
      </c>
      <c r="P353" s="200">
        <f t="shared" si="92"/>
        <v>4.1577139079812024</v>
      </c>
      <c r="Q353" s="200">
        <f t="shared" si="93"/>
        <v>7.8422860920187976</v>
      </c>
      <c r="R353" s="200">
        <f t="shared" si="94"/>
        <v>16.157713907981204</v>
      </c>
      <c r="S353" s="204">
        <f t="shared" si="95"/>
        <v>0.3576388888888889</v>
      </c>
      <c r="T353" s="204">
        <f t="shared" si="96"/>
        <v>0.70416666666666661</v>
      </c>
      <c r="U353" s="205" t="str">
        <f t="shared" si="98"/>
        <v>H</v>
      </c>
      <c r="V353" s="272">
        <f t="shared" si="97"/>
        <v>1</v>
      </c>
      <c r="W353" s="207" t="str">
        <f>IF(Introduction!$E$7=1,CONCATENATE("🌞 ➚ ",TEXT(S353,"hh:mm")," ","➘ ",TEXT(T353,"hh:mm")),CONCATENATE("☼ ➚ ",TEXT(S353,"hh:mm")," ","➘ ",TEXT(T353,"hh:mm")))</f>
        <v>🌞 ➚ 08:35 ➘ 16:54</v>
      </c>
    </row>
    <row r="354" spans="6:23" x14ac:dyDescent="0.2">
      <c r="F354" s="198">
        <f t="shared" si="105"/>
        <v>44543</v>
      </c>
      <c r="G354" s="199">
        <f t="shared" si="99"/>
        <v>347</v>
      </c>
      <c r="H354" s="200">
        <f t="shared" si="89"/>
        <v>339.00319999999999</v>
      </c>
      <c r="I354" s="200">
        <f t="shared" si="100"/>
        <v>-0.69919740839081945</v>
      </c>
      <c r="J354" s="200">
        <f t="shared" si="90"/>
        <v>261.30400259160911</v>
      </c>
      <c r="K354" s="200">
        <f t="shared" si="101"/>
        <v>-0.76734146768166944</v>
      </c>
      <c r="L354" s="201">
        <f t="shared" si="102"/>
        <v>-5.8661555042899556</v>
      </c>
      <c r="M354" s="202">
        <f t="shared" si="103"/>
        <v>0.24442314601208148</v>
      </c>
      <c r="N354" s="203">
        <f t="shared" si="104"/>
        <v>-23.155446788094622</v>
      </c>
      <c r="O354" s="200">
        <f t="shared" si="91"/>
        <v>62.259022395386232</v>
      </c>
      <c r="P354" s="200">
        <f t="shared" si="92"/>
        <v>4.1506014930257491</v>
      </c>
      <c r="Q354" s="200">
        <f t="shared" si="93"/>
        <v>7.8493985069742509</v>
      </c>
      <c r="R354" s="200">
        <f t="shared" si="94"/>
        <v>16.15060149302575</v>
      </c>
      <c r="S354" s="204">
        <f t="shared" si="95"/>
        <v>0.35833333333333334</v>
      </c>
      <c r="T354" s="204">
        <f t="shared" si="96"/>
        <v>0.70416666666666661</v>
      </c>
      <c r="U354" s="205" t="str">
        <f t="shared" si="98"/>
        <v>H</v>
      </c>
      <c r="V354" s="272">
        <f t="shared" si="97"/>
        <v>1</v>
      </c>
      <c r="W354" s="207" t="str">
        <f>IF(Introduction!$E$7=1,CONCATENATE("🌞 ➚ ",TEXT(S354,"hh:mm")," ","➘ ",TEXT(T354,"hh:mm")),CONCATENATE("☼ ➚ ",TEXT(S354,"hh:mm")," ","➘ ",TEXT(T354,"hh:mm")))</f>
        <v>🌞 ➚ 08:36 ➘ 16:54</v>
      </c>
    </row>
    <row r="355" spans="6:23" x14ac:dyDescent="0.2">
      <c r="F355" s="198">
        <f t="shared" si="105"/>
        <v>44544</v>
      </c>
      <c r="G355" s="199">
        <f t="shared" si="99"/>
        <v>348</v>
      </c>
      <c r="H355" s="200">
        <f t="shared" si="89"/>
        <v>339.98880000000008</v>
      </c>
      <c r="I355" s="200">
        <f t="shared" si="100"/>
        <v>-0.66783986195907807</v>
      </c>
      <c r="J355" s="200">
        <f t="shared" si="90"/>
        <v>262.32096013804096</v>
      </c>
      <c r="K355" s="200">
        <f t="shared" si="101"/>
        <v>-0.68019337658558343</v>
      </c>
      <c r="L355" s="201">
        <f t="shared" si="102"/>
        <v>-5.3921329541786456</v>
      </c>
      <c r="M355" s="202">
        <f t="shared" si="103"/>
        <v>0.22467220642411023</v>
      </c>
      <c r="N355" s="203">
        <f t="shared" si="104"/>
        <v>-23.218121181248264</v>
      </c>
      <c r="O355" s="200">
        <f t="shared" si="91"/>
        <v>62.163788656978582</v>
      </c>
      <c r="P355" s="200">
        <f t="shared" si="92"/>
        <v>4.1442525771319056</v>
      </c>
      <c r="Q355" s="200">
        <f t="shared" si="93"/>
        <v>7.8557474228680944</v>
      </c>
      <c r="R355" s="200">
        <f t="shared" si="94"/>
        <v>16.144252577131905</v>
      </c>
      <c r="S355" s="204">
        <f t="shared" si="95"/>
        <v>0.35902777777777778</v>
      </c>
      <c r="T355" s="204">
        <f t="shared" si="96"/>
        <v>0.70416666666666661</v>
      </c>
      <c r="U355" s="205" t="str">
        <f t="shared" si="98"/>
        <v>H</v>
      </c>
      <c r="V355" s="272">
        <f t="shared" si="97"/>
        <v>1</v>
      </c>
      <c r="W355" s="207" t="str">
        <f>IF(Introduction!$E$7=1,CONCATENATE("🌞 ➚ ",TEXT(S355,"hh:mm")," ","➘ ",TEXT(T355,"hh:mm")),CONCATENATE("☼ ➚ ",TEXT(S355,"hh:mm")," ","➘ ",TEXT(T355,"hh:mm")))</f>
        <v>🌞 ➚ 08:37 ➘ 16:54</v>
      </c>
    </row>
    <row r="356" spans="6:23" x14ac:dyDescent="0.2">
      <c r="F356" s="198">
        <f t="shared" si="105"/>
        <v>44545</v>
      </c>
      <c r="G356" s="199">
        <f t="shared" si="99"/>
        <v>349</v>
      </c>
      <c r="H356" s="200">
        <f t="shared" si="89"/>
        <v>340.97440000000006</v>
      </c>
      <c r="I356" s="200">
        <f t="shared" si="100"/>
        <v>-0.63627328525408966</v>
      </c>
      <c r="J356" s="200">
        <f t="shared" si="90"/>
        <v>263.33812671474584</v>
      </c>
      <c r="K356" s="200">
        <f t="shared" si="101"/>
        <v>-0.59206774454377475</v>
      </c>
      <c r="L356" s="201">
        <f t="shared" si="102"/>
        <v>-4.9133641191914581</v>
      </c>
      <c r="M356" s="202">
        <f t="shared" si="103"/>
        <v>0.20472350496631075</v>
      </c>
      <c r="N356" s="203">
        <f t="shared" si="104"/>
        <v>-23.273089184342151</v>
      </c>
      <c r="O356" s="200">
        <f t="shared" si="91"/>
        <v>62.080123790099123</v>
      </c>
      <c r="P356" s="200">
        <f t="shared" si="92"/>
        <v>4.1386749193399419</v>
      </c>
      <c r="Q356" s="200">
        <f t="shared" si="93"/>
        <v>7.8613250806600581</v>
      </c>
      <c r="R356" s="200">
        <f t="shared" si="94"/>
        <v>16.138674919339941</v>
      </c>
      <c r="S356" s="204">
        <f t="shared" si="95"/>
        <v>0.35902777777777778</v>
      </c>
      <c r="T356" s="204">
        <f t="shared" si="96"/>
        <v>0.70416666666666661</v>
      </c>
      <c r="U356" s="205" t="str">
        <f t="shared" si="98"/>
        <v>H</v>
      </c>
      <c r="V356" s="272">
        <f t="shared" si="97"/>
        <v>1</v>
      </c>
      <c r="W356" s="207" t="str">
        <f>IF(Introduction!$E$7=1,CONCATENATE("🌞 ➚ ",TEXT(S356,"hh:mm")," ","➘ ",TEXT(T356,"hh:mm")),CONCATENATE("☼ ➚ ",TEXT(S356,"hh:mm")," ","➘ ",TEXT(T356,"hh:mm")))</f>
        <v>🌞 ➚ 08:37 ➘ 16:54</v>
      </c>
    </row>
    <row r="357" spans="6:23" x14ac:dyDescent="0.2">
      <c r="F357" s="198">
        <f t="shared" si="105"/>
        <v>44546</v>
      </c>
      <c r="G357" s="199">
        <f t="shared" si="99"/>
        <v>350</v>
      </c>
      <c r="H357" s="200">
        <f t="shared" si="89"/>
        <v>341.96000000000004</v>
      </c>
      <c r="I357" s="200">
        <f t="shared" si="100"/>
        <v>-0.60450749320538166</v>
      </c>
      <c r="J357" s="200">
        <f t="shared" si="90"/>
        <v>264.35549250679469</v>
      </c>
      <c r="K357" s="200">
        <f t="shared" si="101"/>
        <v>-0.50308844345229342</v>
      </c>
      <c r="L357" s="201">
        <f t="shared" si="102"/>
        <v>-4.4303837466307003</v>
      </c>
      <c r="M357" s="202">
        <f t="shared" si="103"/>
        <v>0.18459932277627919</v>
      </c>
      <c r="N357" s="203">
        <f t="shared" si="104"/>
        <v>-23.320318781168574</v>
      </c>
      <c r="O357" s="200">
        <f t="shared" si="91"/>
        <v>62.008131467533815</v>
      </c>
      <c r="P357" s="200">
        <f t="shared" si="92"/>
        <v>4.1338754311689208</v>
      </c>
      <c r="Q357" s="200">
        <f t="shared" si="93"/>
        <v>7.8661245688310792</v>
      </c>
      <c r="R357" s="200">
        <f t="shared" si="94"/>
        <v>16.133875431168921</v>
      </c>
      <c r="S357" s="204">
        <f t="shared" si="95"/>
        <v>0.35972222222222222</v>
      </c>
      <c r="T357" s="204">
        <f t="shared" si="96"/>
        <v>0.70416666666666661</v>
      </c>
      <c r="U357" s="205" t="str">
        <f t="shared" si="98"/>
        <v>H</v>
      </c>
      <c r="V357" s="272">
        <f t="shared" si="97"/>
        <v>1</v>
      </c>
      <c r="W357" s="207" t="str">
        <f>IF(Introduction!$E$7=1,CONCATENATE("🌞 ➚ ",TEXT(S357,"hh:mm")," ","➘ ",TEXT(T357,"hh:mm")),CONCATENATE("☼ ➚ ",TEXT(S357,"hh:mm")," ","➘ ",TEXT(T357,"hh:mm")))</f>
        <v>🌞 ➚ 08:38 ➘ 16:54</v>
      </c>
    </row>
    <row r="358" spans="6:23" x14ac:dyDescent="0.2">
      <c r="F358" s="198">
        <f t="shared" si="105"/>
        <v>44547</v>
      </c>
      <c r="G358" s="199">
        <f t="shared" si="99"/>
        <v>351</v>
      </c>
      <c r="H358" s="200">
        <f t="shared" si="89"/>
        <v>342.94560000000001</v>
      </c>
      <c r="I358" s="200">
        <f t="shared" si="100"/>
        <v>-0.57255237264024095</v>
      </c>
      <c r="J358" s="200">
        <f t="shared" si="90"/>
        <v>265.37304762735971</v>
      </c>
      <c r="K358" s="200">
        <f t="shared" si="101"/>
        <v>-0.41338103730033304</v>
      </c>
      <c r="L358" s="201">
        <f t="shared" si="102"/>
        <v>-3.943733639762296</v>
      </c>
      <c r="M358" s="202">
        <f t="shared" si="103"/>
        <v>0.16432223499009566</v>
      </c>
      <c r="N358" s="203">
        <f t="shared" si="104"/>
        <v>-23.3597819464051</v>
      </c>
      <c r="O358" s="200">
        <f t="shared" si="91"/>
        <v>61.947902205267596</v>
      </c>
      <c r="P358" s="200">
        <f t="shared" si="92"/>
        <v>4.1298601470178395</v>
      </c>
      <c r="Q358" s="200">
        <f t="shared" si="93"/>
        <v>7.8701398529821605</v>
      </c>
      <c r="R358" s="200">
        <f t="shared" si="94"/>
        <v>16.12986014701784</v>
      </c>
      <c r="S358" s="204">
        <f t="shared" si="95"/>
        <v>0.36041666666666666</v>
      </c>
      <c r="T358" s="204">
        <f t="shared" si="96"/>
        <v>0.70416666666666661</v>
      </c>
      <c r="U358" s="205" t="str">
        <f t="shared" si="98"/>
        <v>H</v>
      </c>
      <c r="V358" s="272">
        <f t="shared" si="97"/>
        <v>1</v>
      </c>
      <c r="W358" s="207" t="str">
        <f>IF(Introduction!$E$7=1,CONCATENATE("🌞 ➚ ",TEXT(S358,"hh:mm")," ","➘ ",TEXT(T358,"hh:mm")),CONCATENATE("☼ ➚ ",TEXT(S358,"hh:mm")," ","➘ ",TEXT(T358,"hh:mm")))</f>
        <v>🌞 ➚ 08:39 ➘ 16:54</v>
      </c>
    </row>
    <row r="359" spans="6:23" x14ac:dyDescent="0.2">
      <c r="F359" s="198">
        <f t="shared" si="105"/>
        <v>44548</v>
      </c>
      <c r="G359" s="199">
        <f t="shared" si="99"/>
        <v>352</v>
      </c>
      <c r="H359" s="200">
        <f t="shared" si="89"/>
        <v>343.93119999999999</v>
      </c>
      <c r="I359" s="200">
        <f t="shared" si="100"/>
        <v>-0.54041787878143299</v>
      </c>
      <c r="J359" s="200">
        <f t="shared" si="90"/>
        <v>266.39078212121854</v>
      </c>
      <c r="K359" s="200">
        <f t="shared" si="101"/>
        <v>-0.32307254967786259</v>
      </c>
      <c r="L359" s="201">
        <f t="shared" si="102"/>
        <v>-3.4539617138371823</v>
      </c>
      <c r="M359" s="202">
        <f t="shared" si="103"/>
        <v>0.14391507140988261</v>
      </c>
      <c r="N359" s="203">
        <f t="shared" si="104"/>
        <v>-23.391454695643127</v>
      </c>
      <c r="O359" s="200">
        <f t="shared" si="91"/>
        <v>61.899512970411692</v>
      </c>
      <c r="P359" s="200">
        <f t="shared" si="92"/>
        <v>4.1266341980274461</v>
      </c>
      <c r="Q359" s="200">
        <f t="shared" si="93"/>
        <v>7.8733658019725539</v>
      </c>
      <c r="R359" s="200">
        <f t="shared" si="94"/>
        <v>16.126634198027446</v>
      </c>
      <c r="S359" s="204">
        <f t="shared" si="95"/>
        <v>0.3611111111111111</v>
      </c>
      <c r="T359" s="204">
        <f t="shared" si="96"/>
        <v>0.70486111111111116</v>
      </c>
      <c r="U359" s="205" t="str">
        <f t="shared" si="98"/>
        <v>H</v>
      </c>
      <c r="V359" s="272">
        <f t="shared" si="97"/>
        <v>1</v>
      </c>
      <c r="W359" s="207" t="str">
        <f>IF(Introduction!$E$7=1,CONCATENATE("🌞 ➚ ",TEXT(S359,"hh:mm")," ","➘ ",TEXT(T359,"hh:mm")),CONCATENATE("☼ ➚ ",TEXT(S359,"hh:mm")," ","➘ ",TEXT(T359,"hh:mm")))</f>
        <v>🌞 ➚ 08:40 ➘ 16:55</v>
      </c>
    </row>
    <row r="360" spans="6:23" x14ac:dyDescent="0.2">
      <c r="F360" s="198">
        <f t="shared" si="105"/>
        <v>44549</v>
      </c>
      <c r="G360" s="199">
        <f t="shared" si="99"/>
        <v>353</v>
      </c>
      <c r="H360" s="200">
        <f t="shared" si="89"/>
        <v>344.91679999999997</v>
      </c>
      <c r="I360" s="200">
        <f t="shared" si="100"/>
        <v>-0.50811403171006719</v>
      </c>
      <c r="J360" s="200">
        <f t="shared" si="90"/>
        <v>267.40868596829</v>
      </c>
      <c r="K360" s="200">
        <f t="shared" si="101"/>
        <v>-0.23229122666988949</v>
      </c>
      <c r="L360" s="201">
        <f t="shared" si="102"/>
        <v>-2.961621033519827</v>
      </c>
      <c r="M360" s="202">
        <f t="shared" si="103"/>
        <v>0.12340087639665946</v>
      </c>
      <c r="N360" s="203">
        <f t="shared" si="104"/>
        <v>-23.415317128676509</v>
      </c>
      <c r="O360" s="200">
        <f t="shared" si="91"/>
        <v>61.8630268445418</v>
      </c>
      <c r="P360" s="200">
        <f t="shared" si="92"/>
        <v>4.1242017896361203</v>
      </c>
      <c r="Q360" s="200">
        <f t="shared" si="93"/>
        <v>7.8757982103638797</v>
      </c>
      <c r="R360" s="200">
        <f t="shared" si="94"/>
        <v>16.124201789636121</v>
      </c>
      <c r="S360" s="204">
        <f t="shared" si="95"/>
        <v>0.3611111111111111</v>
      </c>
      <c r="T360" s="204">
        <f t="shared" si="96"/>
        <v>0.70486111111111116</v>
      </c>
      <c r="U360" s="205" t="str">
        <f t="shared" si="98"/>
        <v>H</v>
      </c>
      <c r="V360" s="272">
        <f t="shared" si="97"/>
        <v>1</v>
      </c>
      <c r="W360" s="207" t="str">
        <f>IF(Introduction!$E$7=1,CONCATENATE("🌞 ➚ ",TEXT(S360,"hh:mm")," ","➘ ",TEXT(T360,"hh:mm")),CONCATENATE("☼ ➚ ",TEXT(S360,"hh:mm")," ","➘ ",TEXT(T360,"hh:mm")))</f>
        <v>🌞 ➚ 08:40 ➘ 16:55</v>
      </c>
    </row>
    <row r="361" spans="6:23" x14ac:dyDescent="0.2">
      <c r="F361" s="198">
        <f t="shared" si="105"/>
        <v>44550</v>
      </c>
      <c r="G361" s="199">
        <f t="shared" si="99"/>
        <v>354</v>
      </c>
      <c r="H361" s="200">
        <f t="shared" si="89"/>
        <v>345.90239999999994</v>
      </c>
      <c r="I361" s="200">
        <f t="shared" si="100"/>
        <v>-0.47565091279530841</v>
      </c>
      <c r="J361" s="200">
        <f t="shared" si="90"/>
        <v>268.42674908720471</v>
      </c>
      <c r="K361" s="200">
        <f t="shared" si="101"/>
        <v>-0.14116629583350326</v>
      </c>
      <c r="L361" s="201">
        <f t="shared" si="102"/>
        <v>-2.4672688345152469</v>
      </c>
      <c r="M361" s="202">
        <f t="shared" si="103"/>
        <v>0.10280286810480195</v>
      </c>
      <c r="N361" s="203">
        <f t="shared" si="104"/>
        <v>-23.431353465861577</v>
      </c>
      <c r="O361" s="200">
        <f t="shared" si="91"/>
        <v>61.838492745491365</v>
      </c>
      <c r="P361" s="200">
        <f t="shared" si="92"/>
        <v>4.1225661830327578</v>
      </c>
      <c r="Q361" s="200">
        <f t="shared" si="93"/>
        <v>7.8774338169672422</v>
      </c>
      <c r="R361" s="200">
        <f t="shared" si="94"/>
        <v>16.12256618303276</v>
      </c>
      <c r="S361" s="204">
        <f t="shared" si="95"/>
        <v>0.36180555555555555</v>
      </c>
      <c r="T361" s="204">
        <f t="shared" si="96"/>
        <v>0.70486111111111116</v>
      </c>
      <c r="U361" s="205" t="str">
        <f t="shared" si="98"/>
        <v>H</v>
      </c>
      <c r="V361" s="272">
        <f t="shared" si="97"/>
        <v>1</v>
      </c>
      <c r="W361" s="207" t="str">
        <f>IF(Introduction!$E$7=1,CONCATENATE("🌞 ➚ ",TEXT(S361,"hh:mm")," ","➘ ",TEXT(T361,"hh:mm")),CONCATENATE("☼ ➚ ",TEXT(S361,"hh:mm")," ","➘ ",TEXT(T361,"hh:mm")))</f>
        <v>🌞 ➚ 08:41 ➘ 16:55</v>
      </c>
    </row>
    <row r="362" spans="6:23" x14ac:dyDescent="0.2">
      <c r="F362" s="198">
        <f t="shared" si="105"/>
        <v>44551</v>
      </c>
      <c r="G362" s="199">
        <f t="shared" si="99"/>
        <v>355</v>
      </c>
      <c r="H362" s="200">
        <f t="shared" si="89"/>
        <v>346.88800000000003</v>
      </c>
      <c r="I362" s="200">
        <f t="shared" si="100"/>
        <v>-0.44303866109272544</v>
      </c>
      <c r="J362" s="200">
        <f t="shared" si="90"/>
        <v>269.44496133890732</v>
      </c>
      <c r="K362" s="200">
        <f t="shared" si="101"/>
        <v>-4.9827721972561474E-2</v>
      </c>
      <c r="L362" s="201">
        <f t="shared" si="102"/>
        <v>-1.9714655322611476</v>
      </c>
      <c r="M362" s="202">
        <f t="shared" si="103"/>
        <v>8.2144397177547818E-2</v>
      </c>
      <c r="N362" s="203">
        <f t="shared" si="104"/>
        <v>-23.439552077389212</v>
      </c>
      <c r="O362" s="200">
        <f t="shared" si="91"/>
        <v>61.825945210146749</v>
      </c>
      <c r="P362" s="200">
        <f t="shared" si="92"/>
        <v>4.1217296806764496</v>
      </c>
      <c r="Q362" s="200">
        <f t="shared" si="93"/>
        <v>7.8782703193235504</v>
      </c>
      <c r="R362" s="200">
        <f t="shared" si="94"/>
        <v>16.121729680676449</v>
      </c>
      <c r="S362" s="204">
        <f t="shared" si="95"/>
        <v>0.36180555555555555</v>
      </c>
      <c r="T362" s="204">
        <f t="shared" si="96"/>
        <v>0.7055555555555556</v>
      </c>
      <c r="U362" s="205" t="str">
        <f t="shared" si="98"/>
        <v>H</v>
      </c>
      <c r="V362" s="272">
        <f t="shared" si="97"/>
        <v>1</v>
      </c>
      <c r="W362" s="207" t="str">
        <f>IF(Introduction!$E$7=1,CONCATENATE("🌞 ➚ ",TEXT(S362,"hh:mm")," ","➘ ",TEXT(T362,"hh:mm")),CONCATENATE("☼ ➚ ",TEXT(S362,"hh:mm")," ","➘ ",TEXT(T362,"hh:mm")))</f>
        <v>🌞 ➚ 08:41 ➘ 16:56</v>
      </c>
    </row>
    <row r="363" spans="6:23" x14ac:dyDescent="0.2">
      <c r="F363" s="198">
        <f t="shared" si="105"/>
        <v>44552</v>
      </c>
      <c r="G363" s="199">
        <f t="shared" si="99"/>
        <v>356</v>
      </c>
      <c r="H363" s="200">
        <f t="shared" si="89"/>
        <v>347.87360000000001</v>
      </c>
      <c r="I363" s="200">
        <f t="shared" si="100"/>
        <v>-0.41028746971310392</v>
      </c>
      <c r="J363" s="200">
        <f t="shared" si="90"/>
        <v>270.46331253028688</v>
      </c>
      <c r="K363" s="200">
        <f t="shared" si="101"/>
        <v>4.1594039559697031E-2</v>
      </c>
      <c r="L363" s="201">
        <f t="shared" si="102"/>
        <v>-1.4747737206136275</v>
      </c>
      <c r="M363" s="202">
        <f t="shared" si="103"/>
        <v>6.1448905025567817E-2</v>
      </c>
      <c r="N363" s="203">
        <f t="shared" si="104"/>
        <v>-23.439905505341567</v>
      </c>
      <c r="O363" s="200">
        <f t="shared" si="91"/>
        <v>61.825404240247948</v>
      </c>
      <c r="P363" s="200">
        <f t="shared" si="92"/>
        <v>4.1216936160165298</v>
      </c>
      <c r="Q363" s="200">
        <f t="shared" si="93"/>
        <v>7.8783063839834702</v>
      </c>
      <c r="R363" s="200">
        <f t="shared" si="94"/>
        <v>16.121693616016529</v>
      </c>
      <c r="S363" s="204">
        <f t="shared" si="95"/>
        <v>0.36249999999999999</v>
      </c>
      <c r="T363" s="204">
        <f t="shared" si="96"/>
        <v>0.7055555555555556</v>
      </c>
      <c r="U363" s="205" t="str">
        <f t="shared" si="98"/>
        <v>H</v>
      </c>
      <c r="V363" s="272">
        <f t="shared" si="97"/>
        <v>1</v>
      </c>
      <c r="W363" s="207" t="str">
        <f>IF(Introduction!$E$7=1,CONCATENATE("🌞 ➚ ",TEXT(S363,"hh:mm")," ","➘ ",TEXT(T363,"hh:mm")),CONCATENATE("☼ ➚ ",TEXT(S363,"hh:mm")," ","➘ ",TEXT(T363,"hh:mm")))</f>
        <v>🌞 ➚ 08:42 ➘ 16:56</v>
      </c>
    </row>
    <row r="364" spans="6:23" x14ac:dyDescent="0.2">
      <c r="F364" s="198">
        <f t="shared" si="105"/>
        <v>44553</v>
      </c>
      <c r="G364" s="199">
        <f t="shared" si="99"/>
        <v>357</v>
      </c>
      <c r="H364" s="200">
        <f t="shared" si="89"/>
        <v>348.85919999999999</v>
      </c>
      <c r="I364" s="200">
        <f t="shared" si="100"/>
        <v>-0.3774075821634687</v>
      </c>
      <c r="J364" s="200">
        <f t="shared" si="90"/>
        <v>271.48179241783646</v>
      </c>
      <c r="K364" s="200">
        <f t="shared" si="101"/>
        <v>0.13296829128860244</v>
      </c>
      <c r="L364" s="201">
        <f t="shared" si="102"/>
        <v>-0.97775716349946507</v>
      </c>
      <c r="M364" s="202">
        <f t="shared" si="103"/>
        <v>4.0739881812477709E-2</v>
      </c>
      <c r="N364" s="203">
        <f t="shared" si="104"/>
        <v>-23.43241047843809</v>
      </c>
      <c r="O364" s="200">
        <f t="shared" si="91"/>
        <v>61.836875212628172</v>
      </c>
      <c r="P364" s="200">
        <f t="shared" si="92"/>
        <v>4.1224583475085446</v>
      </c>
      <c r="Q364" s="200">
        <f t="shared" si="93"/>
        <v>7.8775416524914554</v>
      </c>
      <c r="R364" s="200">
        <f t="shared" si="94"/>
        <v>16.122458347508545</v>
      </c>
      <c r="S364" s="204">
        <f t="shared" si="95"/>
        <v>0.36249999999999999</v>
      </c>
      <c r="T364" s="204">
        <f t="shared" si="96"/>
        <v>0.70624999999999993</v>
      </c>
      <c r="U364" s="205" t="str">
        <f t="shared" si="98"/>
        <v>H</v>
      </c>
      <c r="V364" s="272">
        <f t="shared" si="97"/>
        <v>1</v>
      </c>
      <c r="W364" s="207" t="str">
        <f>IF(Introduction!$E$7=1,CONCATENATE("🌞 ➚ ",TEXT(S364,"hh:mm")," ","➘ ",TEXT(T364,"hh:mm")),CONCATENATE("☼ ➚ ",TEXT(S364,"hh:mm")," ","➘ ",TEXT(T364,"hh:mm")))</f>
        <v>🌞 ➚ 08:42 ➘ 16:57</v>
      </c>
    </row>
    <row r="365" spans="6:23" x14ac:dyDescent="0.2">
      <c r="F365" s="198">
        <f t="shared" si="105"/>
        <v>44554</v>
      </c>
      <c r="G365" s="199">
        <f t="shared" si="99"/>
        <v>358</v>
      </c>
      <c r="H365" s="200">
        <f t="shared" si="89"/>
        <v>349.84480000000008</v>
      </c>
      <c r="I365" s="200">
        <f t="shared" si="100"/>
        <v>-0.3444092886622358</v>
      </c>
      <c r="J365" s="200">
        <f t="shared" si="90"/>
        <v>272.50039071133779</v>
      </c>
      <c r="K365" s="200">
        <f t="shared" si="101"/>
        <v>0.22416434302569876</v>
      </c>
      <c r="L365" s="201">
        <f t="shared" si="102"/>
        <v>-0.48097978254614815</v>
      </c>
      <c r="M365" s="202">
        <f t="shared" si="103"/>
        <v>2.0040824272756174E-2</v>
      </c>
      <c r="N365" s="203">
        <f t="shared" si="104"/>
        <v>-23.417067919409092</v>
      </c>
      <c r="O365" s="200">
        <f t="shared" si="91"/>
        <v>61.860348854729303</v>
      </c>
      <c r="P365" s="200">
        <f t="shared" si="92"/>
        <v>4.1240232569819533</v>
      </c>
      <c r="Q365" s="200">
        <f t="shared" si="93"/>
        <v>7.8759767430180467</v>
      </c>
      <c r="R365" s="200">
        <f t="shared" si="94"/>
        <v>16.124023256981953</v>
      </c>
      <c r="S365" s="204">
        <f t="shared" si="95"/>
        <v>0.36319444444444443</v>
      </c>
      <c r="T365" s="204">
        <f t="shared" si="96"/>
        <v>0.70694444444444438</v>
      </c>
      <c r="U365" s="205" t="str">
        <f t="shared" si="98"/>
        <v>H</v>
      </c>
      <c r="V365" s="272">
        <f t="shared" si="97"/>
        <v>1</v>
      </c>
      <c r="W365" s="207" t="str">
        <f>IF(Introduction!$E$7=1,CONCATENATE("🌞 ➚ ",TEXT(S365,"hh:mm")," ","➘ ",TEXT(T365,"hh:mm")),CONCATENATE("☼ ➚ ",TEXT(S365,"hh:mm")," ","➘ ",TEXT(T365,"hh:mm")))</f>
        <v>🌞 ➚ 08:43 ➘ 16:58</v>
      </c>
    </row>
    <row r="366" spans="6:23" x14ac:dyDescent="0.2">
      <c r="F366" s="198">
        <f t="shared" si="105"/>
        <v>44555</v>
      </c>
      <c r="G366" s="199">
        <f t="shared" si="99"/>
        <v>359</v>
      </c>
      <c r="H366" s="200">
        <f t="shared" si="89"/>
        <v>350.83040000000005</v>
      </c>
      <c r="I366" s="200">
        <f t="shared" si="100"/>
        <v>-0.31130292243034446</v>
      </c>
      <c r="J366" s="200">
        <f t="shared" si="90"/>
        <v>273.51909707756965</v>
      </c>
      <c r="K366" s="200">
        <f t="shared" si="101"/>
        <v>0.3150517615002133</v>
      </c>
      <c r="L366" s="201">
        <f t="shared" si="102"/>
        <v>1.4995356279475347E-2</v>
      </c>
      <c r="M366" s="202">
        <f t="shared" si="103"/>
        <v>6.2480651164480616E-4</v>
      </c>
      <c r="N366" s="203">
        <f t="shared" si="104"/>
        <v>-23.3938829449685</v>
      </c>
      <c r="O366" s="200">
        <f t="shared" si="91"/>
        <v>61.895801285621175</v>
      </c>
      <c r="P366" s="200">
        <f t="shared" si="92"/>
        <v>4.1263867523747448</v>
      </c>
      <c r="Q366" s="200">
        <f t="shared" si="93"/>
        <v>7.8736132476252552</v>
      </c>
      <c r="R366" s="200">
        <f t="shared" si="94"/>
        <v>16.126386752374746</v>
      </c>
      <c r="S366" s="204">
        <f t="shared" si="95"/>
        <v>0.36319444444444443</v>
      </c>
      <c r="T366" s="204">
        <f t="shared" si="96"/>
        <v>0.70694444444444438</v>
      </c>
      <c r="U366" s="205" t="str">
        <f t="shared" si="98"/>
        <v>H</v>
      </c>
      <c r="V366" s="272">
        <f t="shared" si="97"/>
        <v>1</v>
      </c>
      <c r="W366" s="207" t="str">
        <f>IF(Introduction!$E$7=1,CONCATENATE("🌞 ➚ ",TEXT(S366,"hh:mm")," ","➘ ",TEXT(T366,"hh:mm")),CONCATENATE("☼ ➚ ",TEXT(S366,"hh:mm")," ","➘ ",TEXT(T366,"hh:mm")))</f>
        <v>🌞 ➚ 08:43 ➘ 16:58</v>
      </c>
    </row>
    <row r="367" spans="6:23" x14ac:dyDescent="0.2">
      <c r="F367" s="198">
        <f t="shared" si="105"/>
        <v>44556</v>
      </c>
      <c r="G367" s="199">
        <f t="shared" si="99"/>
        <v>360</v>
      </c>
      <c r="H367" s="200">
        <f t="shared" si="89"/>
        <v>351.81600000000003</v>
      </c>
      <c r="I367" s="200">
        <f t="shared" si="100"/>
        <v>-0.27809885596018841</v>
      </c>
      <c r="J367" s="200">
        <f t="shared" si="90"/>
        <v>274.53790114403978</v>
      </c>
      <c r="K367" s="200">
        <f t="shared" si="101"/>
        <v>0.40550061945663934</v>
      </c>
      <c r="L367" s="201">
        <f t="shared" si="102"/>
        <v>0.50960705398580375</v>
      </c>
      <c r="M367" s="202">
        <f t="shared" si="103"/>
        <v>2.1233627249408488E-2</v>
      </c>
      <c r="N367" s="203">
        <f t="shared" si="104"/>
        <v>-23.362864858391386</v>
      </c>
      <c r="O367" s="200">
        <f t="shared" si="91"/>
        <v>61.94319412214162</v>
      </c>
      <c r="P367" s="200">
        <f t="shared" si="92"/>
        <v>4.1295462748094414</v>
      </c>
      <c r="Q367" s="200">
        <f t="shared" si="93"/>
        <v>7.8704537251905586</v>
      </c>
      <c r="R367" s="200">
        <f t="shared" si="94"/>
        <v>16.129546274809442</v>
      </c>
      <c r="S367" s="204">
        <f t="shared" si="95"/>
        <v>0.36319444444444443</v>
      </c>
      <c r="T367" s="204">
        <f t="shared" si="96"/>
        <v>0.70763888888888893</v>
      </c>
      <c r="U367" s="205" t="str">
        <f t="shared" si="98"/>
        <v>H</v>
      </c>
      <c r="V367" s="272">
        <f t="shared" si="97"/>
        <v>1</v>
      </c>
      <c r="W367" s="207" t="str">
        <f>IF(Introduction!$E$7=1,CONCATENATE("🌞 ➚ ",TEXT(S367,"hh:mm")," ","➘ ",TEXT(T367,"hh:mm")),CONCATENATE("☼ ➚ ",TEXT(S367,"hh:mm")," ","➘ ",TEXT(T367,"hh:mm")))</f>
        <v>🌞 ➚ 08:43 ➘ 16:59</v>
      </c>
    </row>
    <row r="368" spans="6:23" x14ac:dyDescent="0.2">
      <c r="F368" s="198">
        <f t="shared" si="105"/>
        <v>44557</v>
      </c>
      <c r="G368" s="199">
        <f t="shared" si="99"/>
        <v>361</v>
      </c>
      <c r="H368" s="200">
        <f t="shared" si="89"/>
        <v>352.80160000000001</v>
      </c>
      <c r="I368" s="200">
        <f t="shared" si="100"/>
        <v>-0.24480749726434034</v>
      </c>
      <c r="J368" s="200">
        <f t="shared" si="90"/>
        <v>275.55679250273568</v>
      </c>
      <c r="K368" s="200">
        <f t="shared" si="101"/>
        <v>0.49538174346172481</v>
      </c>
      <c r="L368" s="201">
        <f t="shared" si="102"/>
        <v>1.0022969847895378</v>
      </c>
      <c r="M368" s="202">
        <f t="shared" si="103"/>
        <v>4.1762374366230738E-2</v>
      </c>
      <c r="N368" s="203">
        <f t="shared" si="104"/>
        <v>-23.324027134735822</v>
      </c>
      <c r="O368" s="200">
        <f t="shared" si="91"/>
        <v>62.002474649166373</v>
      </c>
      <c r="P368" s="200">
        <f t="shared" si="92"/>
        <v>4.1334983099444251</v>
      </c>
      <c r="Q368" s="200">
        <f t="shared" si="93"/>
        <v>7.8665016900555749</v>
      </c>
      <c r="R368" s="200">
        <f t="shared" si="94"/>
        <v>16.133498309944425</v>
      </c>
      <c r="S368" s="204">
        <f t="shared" si="95"/>
        <v>0.36388888888888887</v>
      </c>
      <c r="T368" s="204">
        <f t="shared" si="96"/>
        <v>0.70833333333333337</v>
      </c>
      <c r="U368" s="205" t="str">
        <f t="shared" si="98"/>
        <v>H</v>
      </c>
      <c r="V368" s="272">
        <f t="shared" si="97"/>
        <v>1</v>
      </c>
      <c r="W368" s="207" t="str">
        <f>IF(Introduction!$E$7=1,CONCATENATE("🌞 ➚ ",TEXT(S368,"hh:mm")," ","➘ ",TEXT(T368,"hh:mm")),CONCATENATE("☼ ➚ ",TEXT(S368,"hh:mm")," ","➘ ",TEXT(T368,"hh:mm")))</f>
        <v>🌞 ➚ 08:44 ➘ 17:00</v>
      </c>
    </row>
    <row r="369" spans="6:23" x14ac:dyDescent="0.2">
      <c r="F369" s="198">
        <f t="shared" si="105"/>
        <v>44558</v>
      </c>
      <c r="G369" s="199">
        <f t="shared" si="99"/>
        <v>362</v>
      </c>
      <c r="H369" s="200">
        <f t="shared" si="89"/>
        <v>353.78719999999998</v>
      </c>
      <c r="I369" s="200">
        <f t="shared" si="100"/>
        <v>-0.21143928610591495</v>
      </c>
      <c r="J369" s="200">
        <f t="shared" si="90"/>
        <v>276.57576071389406</v>
      </c>
      <c r="K369" s="200">
        <f t="shared" si="101"/>
        <v>0.58456695966932815</v>
      </c>
      <c r="L369" s="201">
        <f t="shared" si="102"/>
        <v>1.4925106942536528</v>
      </c>
      <c r="M369" s="202">
        <f t="shared" si="103"/>
        <v>6.21879455939022E-2</v>
      </c>
      <c r="N369" s="203">
        <f t="shared" si="104"/>
        <v>-23.277387398781986</v>
      </c>
      <c r="O369" s="200">
        <f t="shared" si="91"/>
        <v>62.07357605242867</v>
      </c>
      <c r="P369" s="200">
        <f t="shared" si="92"/>
        <v>4.1382384034952446</v>
      </c>
      <c r="Q369" s="200">
        <f t="shared" si="93"/>
        <v>7.8617615965047554</v>
      </c>
      <c r="R369" s="200">
        <f t="shared" si="94"/>
        <v>16.138238403495244</v>
      </c>
      <c r="S369" s="204">
        <f t="shared" si="95"/>
        <v>0.36388888888888887</v>
      </c>
      <c r="T369" s="204">
        <f t="shared" si="96"/>
        <v>0.70833333333333337</v>
      </c>
      <c r="U369" s="205" t="str">
        <f t="shared" si="98"/>
        <v>H</v>
      </c>
      <c r="V369" s="272">
        <f t="shared" si="97"/>
        <v>1</v>
      </c>
      <c r="W369" s="207" t="str">
        <f>IF(Introduction!$E$7=1,CONCATENATE("🌞 ➚ ",TEXT(S369,"hh:mm")," ","➘ ",TEXT(T369,"hh:mm")),CONCATENATE("☼ ➚ ",TEXT(S369,"hh:mm")," ","➘ ",TEXT(T369,"hh:mm")))</f>
        <v>🌞 ➚ 08:44 ➘ 17:00</v>
      </c>
    </row>
    <row r="370" spans="6:23" x14ac:dyDescent="0.2">
      <c r="F370" s="198">
        <f t="shared" si="105"/>
        <v>44559</v>
      </c>
      <c r="G370" s="199">
        <f t="shared" si="99"/>
        <v>363</v>
      </c>
      <c r="H370" s="200">
        <f t="shared" si="89"/>
        <v>354.77279999999996</v>
      </c>
      <c r="I370" s="200">
        <f t="shared" si="100"/>
        <v>-0.17800469021255161</v>
      </c>
      <c r="J370" s="200">
        <f t="shared" si="90"/>
        <v>277.59479530978751</v>
      </c>
      <c r="K370" s="200">
        <f t="shared" si="101"/>
        <v>0.67292933679971334</v>
      </c>
      <c r="L370" s="201">
        <f t="shared" si="102"/>
        <v>1.9796985863486469</v>
      </c>
      <c r="M370" s="202">
        <f t="shared" si="103"/>
        <v>8.2487441097860284E-2</v>
      </c>
      <c r="N370" s="203">
        <f t="shared" si="104"/>
        <v>-23.22296739579437</v>
      </c>
      <c r="O370" s="200">
        <f t="shared" si="91"/>
        <v>62.156417711743451</v>
      </c>
      <c r="P370" s="200">
        <f t="shared" si="92"/>
        <v>4.1437611807828967</v>
      </c>
      <c r="Q370" s="200">
        <f t="shared" si="93"/>
        <v>7.8562388192171033</v>
      </c>
      <c r="R370" s="200">
        <f t="shared" si="94"/>
        <v>16.143761180782896</v>
      </c>
      <c r="S370" s="204">
        <f t="shared" si="95"/>
        <v>0.36388888888888887</v>
      </c>
      <c r="T370" s="204">
        <f t="shared" si="96"/>
        <v>0.7090277777777777</v>
      </c>
      <c r="U370" s="205" t="str">
        <f t="shared" si="98"/>
        <v>H</v>
      </c>
      <c r="V370" s="272">
        <f t="shared" si="97"/>
        <v>1</v>
      </c>
      <c r="W370" s="207" t="str">
        <f>IF(Introduction!$E$7=1,CONCATENATE("🌞 ➚ ",TEXT(S370,"hh:mm")," ","➘ ",TEXT(T370,"hh:mm")),CONCATENATE("☼ ➚ ",TEXT(S370,"hh:mm")," ","➘ ",TEXT(T370,"hh:mm")))</f>
        <v>🌞 ➚ 08:44 ➘ 17:01</v>
      </c>
    </row>
    <row r="371" spans="6:23" x14ac:dyDescent="0.2">
      <c r="F371" s="198">
        <f t="shared" si="105"/>
        <v>44560</v>
      </c>
      <c r="G371" s="199">
        <f t="shared" si="99"/>
        <v>364</v>
      </c>
      <c r="H371" s="200">
        <f t="shared" si="89"/>
        <v>355.75839999999994</v>
      </c>
      <c r="I371" s="200">
        <f t="shared" si="100"/>
        <v>-0.14451420147591446</v>
      </c>
      <c r="J371" s="200">
        <f t="shared" si="90"/>
        <v>278.61388579852405</v>
      </c>
      <c r="K371" s="200">
        <f t="shared" si="101"/>
        <v>0.76034342560105594</v>
      </c>
      <c r="L371" s="201">
        <f t="shared" si="102"/>
        <v>2.4633168965005661</v>
      </c>
      <c r="M371" s="202">
        <f t="shared" si="103"/>
        <v>0.10263820402085692</v>
      </c>
      <c r="N371" s="203">
        <f t="shared" si="104"/>
        <v>-23.160792955244872</v>
      </c>
      <c r="O371" s="200">
        <f t="shared" si="91"/>
        <v>62.25090555196023</v>
      </c>
      <c r="P371" s="200">
        <f t="shared" si="92"/>
        <v>4.1500603701306824</v>
      </c>
      <c r="Q371" s="200">
        <f t="shared" si="93"/>
        <v>7.8499396298693176</v>
      </c>
      <c r="R371" s="200">
        <f t="shared" si="94"/>
        <v>16.150060370130682</v>
      </c>
      <c r="S371" s="204">
        <f t="shared" si="95"/>
        <v>0.36388888888888887</v>
      </c>
      <c r="T371" s="204">
        <f t="shared" si="96"/>
        <v>0.70972222222222225</v>
      </c>
      <c r="U371" s="205" t="str">
        <f t="shared" si="98"/>
        <v>H</v>
      </c>
      <c r="V371" s="272">
        <f t="shared" si="97"/>
        <v>1</v>
      </c>
      <c r="W371" s="207" t="str">
        <f>IF(Introduction!$E$7=1,CONCATENATE("🌞 ➚ ",TEXT(S371,"hh:mm")," ","➘ ",TEXT(T371,"hh:mm")),CONCATENATE("☼ ➚ ",TEXT(S371,"hh:mm")," ","➘ ",TEXT(T371,"hh:mm")))</f>
        <v>🌞 ➚ 08:44 ➘ 17:02</v>
      </c>
    </row>
    <row r="372" spans="6:23" x14ac:dyDescent="0.2">
      <c r="F372" s="198">
        <f t="shared" si="105"/>
        <v>44561</v>
      </c>
      <c r="G372" s="199">
        <f t="shared" si="99"/>
        <v>365</v>
      </c>
      <c r="H372" s="200">
        <f t="shared" si="89"/>
        <v>356.74400000000003</v>
      </c>
      <c r="I372" s="200">
        <f t="shared" si="100"/>
        <v>-0.11097833213871401</v>
      </c>
      <c r="J372" s="200">
        <f t="shared" si="90"/>
        <v>279.63302166786139</v>
      </c>
      <c r="K372" s="200">
        <f t="shared" si="101"/>
        <v>0.84668549407632776</v>
      </c>
      <c r="L372" s="201">
        <f t="shared" si="102"/>
        <v>2.9428286477504551</v>
      </c>
      <c r="M372" s="202">
        <f t="shared" si="103"/>
        <v>0.12261786032293563</v>
      </c>
      <c r="N372" s="203">
        <f t="shared" si="104"/>
        <v>-23.090893947665517</v>
      </c>
      <c r="O372" s="200">
        <f t="shared" si="91"/>
        <v>62.356932448479462</v>
      </c>
      <c r="P372" s="200">
        <f t="shared" si="92"/>
        <v>4.1571288298986309</v>
      </c>
      <c r="Q372" s="200">
        <f t="shared" si="93"/>
        <v>7.8428711701013691</v>
      </c>
      <c r="R372" s="200">
        <f t="shared" si="94"/>
        <v>16.157128829898632</v>
      </c>
      <c r="S372" s="204">
        <f t="shared" si="95"/>
        <v>0.36388888888888887</v>
      </c>
      <c r="T372" s="204">
        <f t="shared" si="96"/>
        <v>0.7104166666666667</v>
      </c>
      <c r="U372" s="205" t="str">
        <f t="shared" si="98"/>
        <v>H</v>
      </c>
      <c r="V372" s="272">
        <f t="shared" si="97"/>
        <v>1</v>
      </c>
      <c r="W372" s="207" t="str">
        <f>IF(Introduction!$E$7=1,CONCATENATE("🌞 ➚ ",TEXT(S372,"hh:mm")," ","➘ ",TEXT(T372,"hh:mm")),CONCATENATE("☼ ➚ ",TEXT(S372,"hh:mm")," ","➘ ",TEXT(T372,"hh:mm")))</f>
        <v>🌞 ➚ 08:44 ➘ 17:03</v>
      </c>
    </row>
    <row r="373" spans="6:23" x14ac:dyDescent="0.2">
      <c r="F373" s="198">
        <f t="shared" si="105"/>
        <v>44562</v>
      </c>
      <c r="G373" s="199">
        <f t="shared" si="99"/>
        <v>1</v>
      </c>
      <c r="H373" s="200">
        <f t="shared" si="89"/>
        <v>357.98559999999998</v>
      </c>
      <c r="I373" s="200">
        <f t="shared" si="100"/>
        <v>-6.8683540109881397E-2</v>
      </c>
      <c r="J373" s="200">
        <f t="shared" si="90"/>
        <v>280.9169164598901</v>
      </c>
      <c r="K373" s="200">
        <f t="shared" si="101"/>
        <v>0.95374008729577497</v>
      </c>
      <c r="L373" s="201">
        <f t="shared" si="102"/>
        <v>3.5402261887435742</v>
      </c>
      <c r="M373" s="202">
        <f t="shared" si="103"/>
        <v>0.14750942453098226</v>
      </c>
      <c r="N373" s="203">
        <f t="shared" si="104"/>
        <v>-22.99189741202202</v>
      </c>
      <c r="O373" s="200">
        <f t="shared" si="91"/>
        <v>62.506736458001861</v>
      </c>
      <c r="P373" s="200">
        <f t="shared" si="92"/>
        <v>4.1671157638667911</v>
      </c>
      <c r="Q373" s="200">
        <f t="shared" si="93"/>
        <v>7.8328842361332089</v>
      </c>
      <c r="R373" s="200">
        <f t="shared" si="94"/>
        <v>16.167115763866789</v>
      </c>
      <c r="S373" s="204">
        <f t="shared" si="95"/>
        <v>0.36388888888888887</v>
      </c>
      <c r="T373" s="204">
        <f t="shared" si="96"/>
        <v>0.71111111111111114</v>
      </c>
      <c r="U373" s="205" t="str">
        <f t="shared" si="98"/>
        <v>H</v>
      </c>
      <c r="V373" s="272">
        <f t="shared" si="97"/>
        <v>1</v>
      </c>
      <c r="W373" s="207" t="str">
        <f>IF(Introduction!$E$7=1,CONCATENATE("🌞 ➚ ",TEXT(S373,"hh:mm")," ","➘ ",TEXT(T373,"hh:mm")),CONCATENATE("☼ ➚ ",TEXT(S373,"hh:mm")," ","➘ ",TEXT(T373,"hh:mm")))</f>
        <v>🌞 ➚ 08:44 ➘ 17:04</v>
      </c>
    </row>
  </sheetData>
  <sheetProtection sheet="1" objects="1" scenarios="1" selectLockedCells="1" selectUnlockedCells="1"/>
  <sortState xmlns:xlrd2="http://schemas.microsoft.com/office/spreadsheetml/2017/richdata2" ref="Y11:AG54">
    <sortCondition ref="AB11:AB54"/>
  </sortState>
  <mergeCells count="16">
    <mergeCell ref="Y4:AC4"/>
    <mergeCell ref="Y6:Z6"/>
    <mergeCell ref="Y7:Z7"/>
    <mergeCell ref="I2:K3"/>
    <mergeCell ref="Y5:Z5"/>
    <mergeCell ref="U4:U5"/>
    <mergeCell ref="V4:V5"/>
    <mergeCell ref="W4:W5"/>
    <mergeCell ref="S5:T5"/>
    <mergeCell ref="Q5:R5"/>
    <mergeCell ref="G2:H2"/>
    <mergeCell ref="G3:H3"/>
    <mergeCell ref="L2:M2"/>
    <mergeCell ref="L3:M3"/>
    <mergeCell ref="O4:P4"/>
    <mergeCell ref="L4:M4"/>
  </mergeCells>
  <conditionalFormatting sqref="U6:U373">
    <cfRule type="containsText" dxfId="4" priority="4" operator="containsText" text="H">
      <formula>NOT(ISERROR(SEARCH("H",U6)))</formula>
    </cfRule>
    <cfRule type="containsText" dxfId="3" priority="5" operator="containsText" text="E">
      <formula>NOT(ISERROR(SEARCH("E",U6)))</formula>
    </cfRule>
  </conditionalFormatting>
  <conditionalFormatting sqref="V6:V373">
    <cfRule type="containsText" dxfId="2" priority="2" operator="containsText" text="H">
      <formula>NOT(ISERROR(SEARCH("H",V6)))</formula>
    </cfRule>
    <cfRule type="containsText" dxfId="1" priority="3" operator="containsText" text="E">
      <formula>NOT(ISERROR(SEARCH("E",V6)))</formula>
    </cfRule>
  </conditionalFormatting>
  <conditionalFormatting sqref="Y11:AG11">
    <cfRule type="containsText" dxfId="0" priority="1" operator="containsText" text="BE ">
      <formula>NOT(ISERROR(SEARCH("BE ",Y11)))</formula>
    </cfRule>
  </conditionalFormatting>
  <pageMargins left="0.78740157499999996" right="0.78740157499999996" top="0.984251969" bottom="0.984251969" header="0.4921259845" footer="0.4921259845"/>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35</vt:i4>
      </vt:variant>
    </vt:vector>
  </HeadingPairs>
  <TitlesOfParts>
    <vt:vector size="44" baseType="lpstr">
      <vt:lpstr>Introduction</vt:lpstr>
      <vt:lpstr>Annuel</vt:lpstr>
      <vt:lpstr>Semestriel</vt:lpstr>
      <vt:lpstr>Mensuel</vt:lpstr>
      <vt:lpstr>Scolaire</vt:lpstr>
      <vt:lpstr>Planning </vt:lpstr>
      <vt:lpstr>Planning data</vt:lpstr>
      <vt:lpstr>Calculs</vt:lpstr>
      <vt:lpstr>Soleil</vt:lpstr>
      <vt:lpstr>An_liste</vt:lpstr>
      <vt:lpstr>Ascension_1</vt:lpstr>
      <vt:lpstr>Ascension_2</vt:lpstr>
      <vt:lpstr>Fete_Trav_1</vt:lpstr>
      <vt:lpstr>Fete_Trav_2</vt:lpstr>
      <vt:lpstr>H_Ete</vt:lpstr>
      <vt:lpstr>H_Ete_2</vt:lpstr>
      <vt:lpstr>H_Hiver</vt:lpstr>
      <vt:lpstr>H_Hiver_2</vt:lpstr>
      <vt:lpstr>Scolaire!Impression_des_titres</vt:lpstr>
      <vt:lpstr>Semestriel!Impression_des_titres</vt:lpstr>
      <vt:lpstr>Lati</vt:lpstr>
      <vt:lpstr>Longi</vt:lpstr>
      <vt:lpstr>Mois_liste</vt:lpstr>
      <vt:lpstr>Pâques</vt:lpstr>
      <vt:lpstr>Paques_2</vt:lpstr>
      <vt:lpstr>Pentecote</vt:lpstr>
      <vt:lpstr>Plage_Cal</vt:lpstr>
      <vt:lpstr>Ref_Annee</vt:lpstr>
      <vt:lpstr>Ref_Mois</vt:lpstr>
      <vt:lpstr>Ref_non_ouvrables</vt:lpstr>
      <vt:lpstr>TAB_EVENT_PERSO</vt:lpstr>
      <vt:lpstr>TAB_FERIES</vt:lpstr>
      <vt:lpstr>TAB_FERIES_PURS</vt:lpstr>
      <vt:lpstr>TAB_LUNE</vt:lpstr>
      <vt:lpstr>TAB_SAINTS</vt:lpstr>
      <vt:lpstr>TAB_SEMAINE</vt:lpstr>
      <vt:lpstr>TAB_SOLEIL</vt:lpstr>
      <vt:lpstr>Vict_45_1</vt:lpstr>
      <vt:lpstr>Vict_45_2</vt:lpstr>
      <vt:lpstr>Annuel!Zone_d_impression</vt:lpstr>
      <vt:lpstr>Mensuel!Zone_d_impression</vt:lpstr>
      <vt:lpstr>'Planning '!Zone_d_impression</vt:lpstr>
      <vt:lpstr>Scolaire!Zone_d_impression</vt:lpstr>
      <vt:lpstr>Semestriel!Zone_d_impression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 REY</dc:creator>
  <cp:keywords/>
  <dc:description/>
  <cp:lastModifiedBy>Jean-Jacques REY</cp:lastModifiedBy>
  <cp:lastPrinted>2021-02-19T08:29:34Z</cp:lastPrinted>
  <dcterms:created xsi:type="dcterms:W3CDTF">2010-11-28T19:51:22Z</dcterms:created>
  <dcterms:modified xsi:type="dcterms:W3CDTF">2021-02-19T08:30:01Z</dcterms:modified>
  <cp:category/>
</cp:coreProperties>
</file>